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anthony/Dropbox (Arima Genomics)/TradeSecret/Product Customer Documents/Arima-HiC Kit/03 - Build 4 Oct 2018/QC Worksheets/"/>
    </mc:Choice>
  </mc:AlternateContent>
  <xr:revisionPtr revIDLastSave="0" documentId="13_ncr:1_{E40A3903-1C46-6F4A-8F95-D1A018794E9A}" xr6:coauthVersionLast="34" xr6:coauthVersionMax="34" xr10:uidLastSave="{00000000-0000-0000-0000-000000000000}"/>
  <bookViews>
    <workbookView xWindow="6400" yWindow="460" windowWidth="25600" windowHeight="14800" tabRatio="500" activeTab="2" xr2:uid="{00000000-000D-0000-FFFF-FFFF00000000}"/>
  </bookViews>
  <sheets>
    <sheet name="Cover Page" sheetId="9" r:id="rId1"/>
    <sheet name="Arima-QC1" sheetId="2" r:id="rId2"/>
    <sheet name="Arima-QC2" sheetId="8" r:id="rId3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2" l="1"/>
  <c r="E18" i="2"/>
  <c r="E19" i="2"/>
  <c r="F19" i="2" s="1"/>
  <c r="G19" i="2" s="1"/>
  <c r="E20" i="2"/>
  <c r="F20" i="2" s="1"/>
  <c r="G20" i="2" s="1"/>
  <c r="E21" i="2"/>
  <c r="E22" i="2"/>
  <c r="E23" i="2"/>
  <c r="E16" i="2"/>
  <c r="F16" i="2" s="1"/>
  <c r="G16" i="2" s="1"/>
  <c r="G42" i="8"/>
  <c r="G43" i="8"/>
  <c r="G44" i="8"/>
  <c r="G45" i="8"/>
  <c r="G46" i="8"/>
  <c r="G47" i="8"/>
  <c r="G48" i="8"/>
  <c r="F42" i="8"/>
  <c r="F43" i="8"/>
  <c r="F44" i="8"/>
  <c r="F45" i="8"/>
  <c r="F46" i="8"/>
  <c r="F47" i="8"/>
  <c r="F48" i="8"/>
  <c r="F41" i="8"/>
  <c r="H22" i="8"/>
  <c r="H23" i="8"/>
  <c r="H24" i="8"/>
  <c r="H25" i="8"/>
  <c r="H26" i="8"/>
  <c r="H27" i="8"/>
  <c r="H21" i="8"/>
  <c r="F22" i="8"/>
  <c r="F23" i="8"/>
  <c r="F24" i="8"/>
  <c r="F25" i="8"/>
  <c r="F26" i="8"/>
  <c r="F27" i="8"/>
  <c r="E22" i="8"/>
  <c r="E23" i="8"/>
  <c r="I23" i="8" s="1"/>
  <c r="E24" i="8"/>
  <c r="E25" i="8"/>
  <c r="E26" i="8"/>
  <c r="E27" i="8"/>
  <c r="F17" i="2"/>
  <c r="G17" i="2" s="1"/>
  <c r="F18" i="2"/>
  <c r="G18" i="2" s="1"/>
  <c r="F21" i="2"/>
  <c r="G21" i="2" s="1"/>
  <c r="F22" i="2"/>
  <c r="G22" i="2" s="1"/>
  <c r="F23" i="2"/>
  <c r="G23" i="2" s="1"/>
  <c r="E21" i="8"/>
  <c r="K42" i="8"/>
  <c r="K43" i="8"/>
  <c r="K44" i="8"/>
  <c r="K45" i="8"/>
  <c r="K46" i="8"/>
  <c r="K47" i="8"/>
  <c r="K48" i="8"/>
  <c r="K41" i="8"/>
  <c r="G41" i="8"/>
  <c r="F21" i="8"/>
  <c r="I22" i="8" l="1"/>
  <c r="I26" i="8"/>
  <c r="I24" i="8"/>
  <c r="B29" i="8"/>
  <c r="B30" i="8"/>
  <c r="I25" i="8"/>
  <c r="H46" i="8" l="1"/>
  <c r="J46" i="8" s="1"/>
  <c r="L46" i="8" s="1"/>
  <c r="M46" i="8" s="1"/>
  <c r="S46" i="8" s="1"/>
  <c r="T46" i="8" s="1"/>
  <c r="H47" i="8"/>
  <c r="J47" i="8" s="1"/>
  <c r="L47" i="8" s="1"/>
  <c r="M47" i="8" s="1"/>
  <c r="O46" i="8"/>
  <c r="P46" i="8" s="1"/>
  <c r="Q46" i="8" s="1"/>
  <c r="H48" i="8"/>
  <c r="J48" i="8" s="1"/>
  <c r="L48" i="8" s="1"/>
  <c r="M48" i="8" s="1"/>
  <c r="O48" i="8" s="1"/>
  <c r="P48" i="8" s="1"/>
  <c r="Q48" i="8" s="1"/>
  <c r="H41" i="8"/>
  <c r="J41" i="8" s="1"/>
  <c r="L41" i="8" s="1"/>
  <c r="M41" i="8" s="1"/>
  <c r="O41" i="8" s="1"/>
  <c r="P41" i="8" s="1"/>
  <c r="Q41" i="8" s="1"/>
  <c r="H45" i="8"/>
  <c r="J45" i="8" s="1"/>
  <c r="L45" i="8" s="1"/>
  <c r="M45" i="8" s="1"/>
  <c r="H44" i="8"/>
  <c r="J44" i="8" s="1"/>
  <c r="L44" i="8" s="1"/>
  <c r="M44" i="8" s="1"/>
  <c r="O44" i="8" s="1"/>
  <c r="P44" i="8" s="1"/>
  <c r="Q44" i="8" s="1"/>
  <c r="H43" i="8"/>
  <c r="J43" i="8" s="1"/>
  <c r="L43" i="8" s="1"/>
  <c r="M43" i="8" s="1"/>
  <c r="S43" i="8" s="1"/>
  <c r="T43" i="8" s="1"/>
  <c r="H42" i="8"/>
  <c r="J42" i="8" s="1"/>
  <c r="L42" i="8" s="1"/>
  <c r="M42" i="8" s="1"/>
  <c r="O47" i="8"/>
  <c r="P47" i="8" s="1"/>
  <c r="Q47" i="8" s="1"/>
  <c r="S47" i="8"/>
  <c r="T47" i="8" s="1"/>
  <c r="S44" i="8" l="1"/>
  <c r="T44" i="8" s="1"/>
  <c r="S41" i="8"/>
  <c r="T41" i="8" s="1"/>
  <c r="O42" i="8"/>
  <c r="P42" i="8" s="1"/>
  <c r="Q42" i="8" s="1"/>
  <c r="S42" i="8"/>
  <c r="T42" i="8" s="1"/>
  <c r="S48" i="8"/>
  <c r="T48" i="8" s="1"/>
  <c r="O43" i="8"/>
  <c r="P43" i="8" s="1"/>
  <c r="Q43" i="8" s="1"/>
  <c r="S45" i="8"/>
  <c r="T45" i="8" s="1"/>
  <c r="O45" i="8"/>
  <c r="P45" i="8" s="1"/>
  <c r="Q45" i="8" s="1"/>
</calcChain>
</file>

<file path=xl/sharedStrings.xml><?xml version="1.0" encoding="utf-8"?>
<sst xmlns="http://schemas.openxmlformats.org/spreadsheetml/2006/main" count="111" uniqueCount="78">
  <si>
    <t>Units</t>
  </si>
  <si>
    <t>Sample</t>
  </si>
  <si>
    <t>Quant Assay</t>
  </si>
  <si>
    <t>Qubit Concentration</t>
  </si>
  <si>
    <t>ng/µL</t>
  </si>
  <si>
    <t>dsDNA HS</t>
  </si>
  <si>
    <t>uL</t>
  </si>
  <si>
    <t>Conc pM</t>
  </si>
  <si>
    <t>Log Conc</t>
  </si>
  <si>
    <t>Slope</t>
  </si>
  <si>
    <t>Y-intercept</t>
  </si>
  <si>
    <t>PCR Efficiency</t>
  </si>
  <si>
    <t>*100%</t>
  </si>
  <si>
    <t>Dilution</t>
  </si>
  <si>
    <t>log conc</t>
  </si>
  <si>
    <t>Avg bp</t>
  </si>
  <si>
    <t>Conc nM</t>
  </si>
  <si>
    <t>MW</t>
  </si>
  <si>
    <t>ng/uL</t>
  </si>
  <si>
    <t>ng in PCR</t>
  </si>
  <si>
    <t>PCR cycles</t>
  </si>
  <si>
    <t>ng Post PCR</t>
  </si>
  <si>
    <t>ng/uL post PCR</t>
  </si>
  <si>
    <t>nM post PCR</t>
  </si>
  <si>
    <t>PASS/FAIL</t>
  </si>
  <si>
    <t>Arima-QC1</t>
  </si>
  <si>
    <t>Arima-HiC Samples</t>
  </si>
  <si>
    <t>Sample A</t>
  </si>
  <si>
    <t>Sample B</t>
  </si>
  <si>
    <t>Sample C</t>
  </si>
  <si>
    <t>Sample D</t>
  </si>
  <si>
    <t>Sample E</t>
  </si>
  <si>
    <t>Sample F</t>
  </si>
  <si>
    <t>Sample G</t>
  </si>
  <si>
    <t>Sample H</t>
  </si>
  <si>
    <t>Arima-QC2</t>
  </si>
  <si>
    <t>Yield (ng)</t>
  </si>
  <si>
    <t>Cq 1</t>
  </si>
  <si>
    <t>Cq 2</t>
  </si>
  <si>
    <t>Cq 3</t>
  </si>
  <si>
    <t>Avg Cq</t>
  </si>
  <si>
    <t>Stdev Cq</t>
  </si>
  <si>
    <t>ΔCq</t>
  </si>
  <si>
    <t>Bead-bound library used in PCR reaction</t>
  </si>
  <si>
    <t xml:space="preserve">4. Fill in the 'Sample' column in the "Arima-HiC Samples" section. </t>
  </si>
  <si>
    <t xml:space="preserve">1. Fill in the 'Sample' column in the below table. </t>
  </si>
  <si>
    <t>Input to Arima-QC Quality Control protocol (ng)</t>
  </si>
  <si>
    <t>Standard 1</t>
  </si>
  <si>
    <t>Standard 2</t>
  </si>
  <si>
    <t>Standard 3</t>
  </si>
  <si>
    <t>Standard 4</t>
  </si>
  <si>
    <t>Standard 5</t>
  </si>
  <si>
    <t>Standard 6</t>
  </si>
  <si>
    <t>Control (Water)</t>
  </si>
  <si>
    <t>Instructions:</t>
  </si>
  <si>
    <t>2. Fill in the 'Qubit Concentration' column in the below table. Ensure that you record the sample concentration in ng/uL. Completing this will automatically calculate the Yield, Arima-QC1 value, and PASS/FAIL status.</t>
  </si>
  <si>
    <t>n/a</t>
  </si>
  <si>
    <t>-</t>
  </si>
  <si>
    <t>Arima-QC1 Calculation Worksheet</t>
  </si>
  <si>
    <t>Arima-QC2 Calculation Worksheet</t>
  </si>
  <si>
    <t>Arima-HiC QC Worksheet</t>
  </si>
  <si>
    <t>Standards and Control</t>
  </si>
  <si>
    <t>1. Fill in the Cq values for the standards and control (water) sample in the "Standards and Control" section.</t>
  </si>
  <si>
    <t>2. Check that the ΔCq value (Column I) between DNA Standards is in the range of 3.1 – 3.6,  the control (water) has Cq&gt;30, and the standard curve R2 value is ≥0.99.</t>
  </si>
  <si>
    <r>
      <t xml:space="preserve">7. Fill in the 'DNA Input to Biotin Enrichment' column in the "Arima-HiC Samples" section. This is how much DNA was input to </t>
    </r>
    <r>
      <rPr>
        <i/>
        <sz val="12"/>
        <color theme="1"/>
        <rFont val="Calibri"/>
        <family val="2"/>
        <scheme val="minor"/>
      </rPr>
      <t>Biotin Enrichment</t>
    </r>
    <r>
      <rPr>
        <sz val="12"/>
        <color theme="1"/>
        <rFont val="Calibri"/>
        <family val="2"/>
        <scheme val="minor"/>
      </rPr>
      <t xml:space="preserve"> protocol during Arima-HiC Library Preparation. Completing this will automatically calculate the Arima-QC2 value and PASS/FAIL status.</t>
    </r>
  </si>
  <si>
    <r>
      <t xml:space="preserve">3. Fill in how many uL of bead-bound library </t>
    </r>
    <r>
      <rPr>
        <i/>
        <sz val="12"/>
        <color theme="1"/>
        <rFont val="Calibri"/>
        <family val="2"/>
        <scheme val="minor"/>
      </rPr>
      <t xml:space="preserve">will be used </t>
    </r>
    <r>
      <rPr>
        <sz val="12"/>
        <color theme="1"/>
        <rFont val="Calibri"/>
        <family val="2"/>
        <scheme val="minor"/>
      </rPr>
      <t xml:space="preserve">in your PCR reaction. Refer to the </t>
    </r>
    <r>
      <rPr>
        <i/>
        <sz val="12"/>
        <color theme="1"/>
        <rFont val="Calibri"/>
        <family val="2"/>
        <scheme val="minor"/>
      </rPr>
      <t>Library Amplification</t>
    </r>
    <r>
      <rPr>
        <sz val="12"/>
        <color theme="1"/>
        <rFont val="Calibri"/>
        <family val="2"/>
        <scheme val="minor"/>
      </rPr>
      <t xml:space="preserve"> protocol in your Arima-HiC Library Prep user guide to obtain this value.</t>
    </r>
  </si>
  <si>
    <t>5. Fill in the Cq values for the bead-bound Arima-HiC libraries in the "Arima-HiC Samples" section.</t>
  </si>
  <si>
    <t>6. Manually adjust the values in the 'PCR Cycles' column of the "Arima-HiC Samples" section in order to determine the minimum number of PCR cycles required to obtain at least a 10nM library in the 'nM post PCR' column. This is how many cycles should be used to amplify your bead-bound Arima-HiC library.</t>
  </si>
  <si>
    <t>Post PCR Elution Volume</t>
  </si>
  <si>
    <t>DNA Purification Bead Sample Loss</t>
  </si>
  <si>
    <r>
      <t xml:space="preserve">The </t>
    </r>
    <r>
      <rPr>
        <sz val="12"/>
        <color theme="1"/>
        <rFont val="Calibri (Body)_x0000_"/>
      </rPr>
      <t>instructions</t>
    </r>
    <r>
      <rPr>
        <sz val="12"/>
        <color theme="1"/>
        <rFont val="Calibri"/>
        <family val="2"/>
        <scheme val="minor"/>
      </rPr>
      <t xml:space="preserve"> below provide a step-by-step guide to determining the Arima-QC1 value and PASS/FAIL status of a sample midway through the Arima-HiC workflow.</t>
    </r>
  </si>
  <si>
    <r>
      <rPr>
        <b/>
        <sz val="12"/>
        <color theme="1"/>
        <rFont val="Calibri (Body)_x0000_"/>
      </rPr>
      <t>Important</t>
    </r>
    <r>
      <rPr>
        <b/>
        <sz val="12"/>
        <color theme="1"/>
        <rFont val="Calibri"/>
        <family val="2"/>
        <scheme val="minor"/>
      </rPr>
      <t>: All values in italics with a gray background in the below worksheet are values that need to be filled in by the user. Example values are currently filled in to provide guidance.</t>
    </r>
  </si>
  <si>
    <t>The instructions below provide a step-by-step guide to determining the Arima-QC2 value and PASS/FAIL status of an Arima-HiC library, as well as determining the optimal number of PCR cycles for Library Amplification.</t>
  </si>
  <si>
    <r>
      <rPr>
        <b/>
        <sz val="12"/>
        <color theme="1"/>
        <rFont val="Calibri (Body)_x0000_"/>
      </rPr>
      <t>Important</t>
    </r>
    <r>
      <rPr>
        <b/>
        <sz val="12"/>
        <color theme="1"/>
        <rFont val="Calibri"/>
        <family val="2"/>
        <scheme val="minor"/>
      </rPr>
      <t>: All values in italics with a gray background are values that need to be filled in by the user. Example values are currently filled in to provide guidance.</t>
    </r>
  </si>
  <si>
    <r>
      <t xml:space="preserve">Document Part Number: </t>
    </r>
    <r>
      <rPr>
        <sz val="11"/>
        <color rgb="FF000000"/>
        <rFont val="Avenir Book"/>
        <family val="2"/>
      </rPr>
      <t>A160142 v00</t>
    </r>
  </si>
  <si>
    <r>
      <t xml:space="preserve">Material Part Number: </t>
    </r>
    <r>
      <rPr>
        <sz val="11"/>
        <color rgb="FF000000"/>
        <rFont val="Avenir Book"/>
        <family val="2"/>
      </rPr>
      <t>A510008</t>
    </r>
  </si>
  <si>
    <r>
      <t xml:space="preserve">Release Date: </t>
    </r>
    <r>
      <rPr>
        <sz val="11"/>
        <color rgb="FF000000"/>
        <rFont val="Avenir Book"/>
        <family val="2"/>
      </rPr>
      <t>November 2018</t>
    </r>
  </si>
  <si>
    <t>Total DNA Input into Biotin Enrichment (ng)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</si>
</sst>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%"/>
    <numFmt numFmtId="165" formatCode="0.0%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 (Body)"/>
    </font>
    <font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Avenir Book"/>
      <family val="2"/>
    </font>
    <font>
      <sz val="11"/>
      <color rgb="FF000000"/>
      <name val="Avenir Book"/>
      <family val="2"/>
    </font>
    <font>
      <b/>
      <u/>
      <sz val="16"/>
      <color theme="1"/>
      <name val="Calibri"/>
      <family val="2"/>
      <scheme val="minor"/>
    </font>
    <font>
      <sz val="12"/>
      <color theme="1"/>
      <name val="Calibri (Body)_x0000_"/>
    </font>
    <font>
      <b/>
      <sz val="12"/>
      <color theme="1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A6CB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0" borderId="1" xfId="0" applyBorder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4" fillId="0" borderId="0" xfId="0" applyFont="1"/>
    <xf numFmtId="0" fontId="3" fillId="0" borderId="0" xfId="0" applyFont="1"/>
    <xf numFmtId="164" fontId="7" fillId="0" borderId="0" xfId="0" applyNumberFormat="1" applyFont="1"/>
    <xf numFmtId="0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0" xfId="0" applyFont="1"/>
    <xf numFmtId="10" fontId="0" fillId="0" borderId="1" xfId="3" applyNumberFormat="1" applyFont="1" applyBorder="1" applyAlignment="1">
      <alignment horizontal="center"/>
    </xf>
    <xf numFmtId="0" fontId="0" fillId="0" borderId="5" xfId="0" applyBorder="1"/>
    <xf numFmtId="0" fontId="16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4" xfId="0" applyFont="1" applyBorder="1"/>
    <xf numFmtId="165" fontId="7" fillId="0" borderId="1" xfId="0" applyNumberFormat="1" applyFont="1" applyBorder="1"/>
    <xf numFmtId="2" fontId="0" fillId="0" borderId="1" xfId="0" applyNumberFormat="1" applyBorder="1"/>
    <xf numFmtId="43" fontId="0" fillId="0" borderId="1" xfId="8" applyFont="1" applyBorder="1" applyAlignment="1">
      <alignment horizontal="center"/>
    </xf>
    <xf numFmtId="43" fontId="9" fillId="0" borderId="1" xfId="8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/>
    <xf numFmtId="0" fontId="0" fillId="0" borderId="0" xfId="0" applyFill="1"/>
    <xf numFmtId="0" fontId="0" fillId="0" borderId="1" xfId="0" applyFill="1" applyBorder="1"/>
    <xf numFmtId="2" fontId="9" fillId="0" borderId="1" xfId="8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12" fillId="2" borderId="1" xfId="0" applyNumberFormat="1" applyFont="1" applyFill="1" applyBorder="1" applyAlignment="1">
      <alignment horizontal="center"/>
    </xf>
    <xf numFmtId="43" fontId="10" fillId="2" borderId="1" xfId="8" applyNumberFormat="1" applyFont="1" applyFill="1" applyBorder="1" applyAlignment="1">
      <alignment horizontal="center"/>
    </xf>
    <xf numFmtId="0" fontId="15" fillId="2" borderId="0" xfId="0" applyFont="1" applyFill="1"/>
    <xf numFmtId="0" fontId="0" fillId="2" borderId="0" xfId="0" applyFill="1"/>
    <xf numFmtId="0" fontId="0" fillId="3" borderId="0" xfId="0" applyFill="1"/>
    <xf numFmtId="0" fontId="18" fillId="3" borderId="0" xfId="0" applyFont="1" applyFill="1"/>
    <xf numFmtId="0" fontId="10" fillId="2" borderId="0" xfId="0" applyFont="1" applyFill="1" applyBorder="1"/>
    <xf numFmtId="0" fontId="20" fillId="0" borderId="0" xfId="0" applyFont="1"/>
    <xf numFmtId="0" fontId="15" fillId="0" borderId="0" xfId="0" applyFont="1" applyFill="1"/>
    <xf numFmtId="0" fontId="0" fillId="0" borderId="0" xfId="0" applyFill="1" applyBorder="1"/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/>
    <xf numFmtId="0" fontId="13" fillId="4" borderId="1" xfId="0" applyFont="1" applyFill="1" applyBorder="1" applyAlignment="1">
      <alignment horizontal="center" wrapText="1"/>
    </xf>
    <xf numFmtId="0" fontId="13" fillId="4" borderId="2" xfId="0" applyFont="1" applyFill="1" applyBorder="1"/>
    <xf numFmtId="0" fontId="14" fillId="4" borderId="3" xfId="0" applyFont="1" applyFill="1" applyBorder="1"/>
  </cellXfs>
  <cellStyles count="9">
    <cellStyle name="Comma" xfId="8" builtinId="3"/>
    <cellStyle name="Followed Hyperlink" xfId="2" builtinId="9" hidden="1"/>
    <cellStyle name="Followed Hyperlink" xfId="5" builtinId="9" hidden="1"/>
    <cellStyle name="Followed Hyperlink" xfId="7" builtinId="9" hidden="1"/>
    <cellStyle name="Hyperlink" xfId="1" builtinId="8" hidden="1"/>
    <cellStyle name="Hyperlink" xfId="4" builtinId="8" hidden="1"/>
    <cellStyle name="Hyperlink" xfId="6" builtinId="8" hidden="1"/>
    <cellStyle name="Normal" xfId="0" builtinId="0"/>
    <cellStyle name="Percent" xfId="3" builtinId="5"/>
  </cellStyles>
  <dxfs count="0"/>
  <tableStyles count="0" defaultTableStyle="TableStyleMedium9" defaultPivotStyle="PivotStyleMedium7"/>
  <colors>
    <mruColors>
      <color rgb="FF1A6CB7"/>
      <color rgb="FF0077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270778652668397E-2"/>
          <c:y val="0.224427083333333"/>
          <c:w val="0.91128477690288701"/>
          <c:h val="0.64105068897637796"/>
        </c:manualLayout>
      </c:layout>
      <c:scatterChart>
        <c:scatterStyle val="lineMarker"/>
        <c:varyColors val="0"/>
        <c:ser>
          <c:idx val="0"/>
          <c:order val="0"/>
          <c:tx>
            <c:v>Standard Curve</c:v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4870100612423403"/>
                  <c:y val="-7.197543015456399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'Arima-QC2'!$H$21:$H$26</c:f>
              <c:numCache>
                <c:formatCode>_(* #,##0.00_);_(* \(#,##0.00\);_(* "-"??_);_(@_)</c:formatCode>
                <c:ptCount val="6"/>
                <c:pt idx="0">
                  <c:v>1.3010299956639813</c:v>
                </c:pt>
                <c:pt idx="1">
                  <c:v>0.3010299956639812</c:v>
                </c:pt>
                <c:pt idx="2">
                  <c:v>-0.69897000433601875</c:v>
                </c:pt>
                <c:pt idx="3">
                  <c:v>-1.6989700043360187</c:v>
                </c:pt>
                <c:pt idx="4">
                  <c:v>-2.6989700043360187</c:v>
                </c:pt>
                <c:pt idx="5">
                  <c:v>-3.6989700043360187</c:v>
                </c:pt>
              </c:numCache>
            </c:numRef>
          </c:xVal>
          <c:yVal>
            <c:numRef>
              <c:f>'Arima-QC2'!$E$21:$E$26</c:f>
              <c:numCache>
                <c:formatCode>_(* #,##0.00_);_(* \(#,##0.00\);_(* "-"??_);_(@_)</c:formatCode>
                <c:ptCount val="6"/>
                <c:pt idx="0">
                  <c:v>9.5466666666666669</c:v>
                </c:pt>
                <c:pt idx="1">
                  <c:v>12.64</c:v>
                </c:pt>
                <c:pt idx="2">
                  <c:v>15.96</c:v>
                </c:pt>
                <c:pt idx="3">
                  <c:v>19.41333333333333</c:v>
                </c:pt>
                <c:pt idx="4">
                  <c:v>22.939999999999998</c:v>
                </c:pt>
                <c:pt idx="5">
                  <c:v>26.106666666666666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66-314E-8A3B-3FD64E6A5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0499136"/>
        <c:axId val="1797123760"/>
      </c:scatterChart>
      <c:valAx>
        <c:axId val="1800499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123760"/>
        <c:crosses val="autoZero"/>
        <c:crossBetween val="midCat"/>
      </c:valAx>
      <c:valAx>
        <c:axId val="179712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0499136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151301</xdr:rowOff>
    </xdr:from>
    <xdr:to>
      <xdr:col>2</xdr:col>
      <xdr:colOff>83820</xdr:colOff>
      <xdr:row>3</xdr:row>
      <xdr:rowOff>15323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51301"/>
          <a:ext cx="1950720" cy="4736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151301</xdr:rowOff>
    </xdr:from>
    <xdr:to>
      <xdr:col>1</xdr:col>
      <xdr:colOff>871220</xdr:colOff>
      <xdr:row>3</xdr:row>
      <xdr:rowOff>15323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51301"/>
          <a:ext cx="1950720" cy="4736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362856</xdr:colOff>
      <xdr:row>19</xdr:row>
      <xdr:rowOff>3630</xdr:rowOff>
    </xdr:from>
    <xdr:to>
      <xdr:col>16</xdr:col>
      <xdr:colOff>571499</xdr:colOff>
      <xdr:row>32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50800</xdr:colOff>
      <xdr:row>0</xdr:row>
      <xdr:rowOff>62401</xdr:rowOff>
    </xdr:from>
    <xdr:to>
      <xdr:col>2</xdr:col>
      <xdr:colOff>266700</xdr:colOff>
      <xdr:row>3</xdr:row>
      <xdr:rowOff>7827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62401"/>
          <a:ext cx="2286000" cy="555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C8"/>
  <sheetViews>
    <sheetView workbookViewId="0">
      <selection activeCell="A9" sqref="A9"/>
    </sheetView>
  </sheetViews>
  <sheetFormatPr baseColWidth="10" defaultRowHeight="16"/>
  <cols>
    <col min="1" max="1" width="10.83203125" style="34"/>
    <col min="2" max="2" width="14.5" style="34" customWidth="1"/>
    <col min="3" max="3" width="12.83203125" style="34" customWidth="1"/>
    <col min="4" max="16384" width="10.83203125" style="34"/>
  </cols>
  <sheetData>
    <row r="5" spans="1:3" ht="19">
      <c r="A5" s="32" t="s">
        <v>60</v>
      </c>
      <c r="B5" s="33"/>
      <c r="C5" s="24"/>
    </row>
    <row r="6" spans="1:3" ht="17">
      <c r="A6" s="35" t="s">
        <v>75</v>
      </c>
    </row>
    <row r="7" spans="1:3" ht="17">
      <c r="A7" s="35" t="s">
        <v>74</v>
      </c>
    </row>
    <row r="8" spans="1:3" ht="17">
      <c r="A8" s="35" t="s">
        <v>76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I24"/>
  <sheetViews>
    <sheetView showGridLines="0" workbookViewId="0">
      <selection activeCell="L27" sqref="L27"/>
    </sheetView>
  </sheetViews>
  <sheetFormatPr baseColWidth="10" defaultRowHeight="16"/>
  <cols>
    <col min="1" max="1" width="14.6640625" customWidth="1"/>
    <col min="2" max="2" width="12.33203125" customWidth="1"/>
    <col min="3" max="3" width="13.33203125" customWidth="1"/>
    <col min="4" max="4" width="7.33203125" customWidth="1"/>
    <col min="5" max="5" width="9.5" customWidth="1"/>
    <col min="6" max="6" width="10.5" customWidth="1"/>
    <col min="7" max="7" width="9.6640625" bestFit="1" customWidth="1"/>
    <col min="8" max="8" width="13.33203125" customWidth="1"/>
    <col min="9" max="9" width="15" customWidth="1"/>
  </cols>
  <sheetData>
    <row r="5" spans="1:9" ht="19">
      <c r="A5" s="32" t="s">
        <v>58</v>
      </c>
      <c r="B5" s="33"/>
      <c r="C5" s="33"/>
      <c r="E5" s="13"/>
    </row>
    <row r="6" spans="1:9">
      <c r="A6" s="15" t="s">
        <v>70</v>
      </c>
    </row>
    <row r="7" spans="1:9" s="24" customFormat="1" ht="19">
      <c r="A7" s="38"/>
      <c r="E7" s="39"/>
    </row>
    <row r="8" spans="1:9">
      <c r="A8" s="14" t="s">
        <v>54</v>
      </c>
      <c r="B8" s="15"/>
      <c r="C8" s="15"/>
      <c r="D8" s="15"/>
      <c r="E8" s="15"/>
      <c r="F8" s="15"/>
      <c r="G8" s="15"/>
      <c r="H8" s="15"/>
      <c r="I8" s="15"/>
    </row>
    <row r="9" spans="1:9" s="6" customFormat="1">
      <c r="A9" s="6" t="s">
        <v>71</v>
      </c>
    </row>
    <row r="10" spans="1:9">
      <c r="A10" s="15" t="s">
        <v>45</v>
      </c>
      <c r="B10" s="15"/>
      <c r="C10" s="15"/>
      <c r="D10" s="15"/>
      <c r="E10" s="15"/>
      <c r="F10" s="15"/>
      <c r="G10" s="15"/>
      <c r="H10" s="15"/>
      <c r="I10" s="15"/>
    </row>
    <row r="11" spans="1:9" s="1" customFormat="1">
      <c r="A11" s="16" t="s">
        <v>55</v>
      </c>
      <c r="B11" s="16"/>
      <c r="C11" s="16"/>
      <c r="D11" s="16"/>
      <c r="E11" s="16"/>
      <c r="F11" s="16"/>
      <c r="G11" s="16"/>
      <c r="H11" s="16"/>
      <c r="I11" s="16"/>
    </row>
    <row r="13" spans="1:9">
      <c r="A13" s="43" t="s">
        <v>46</v>
      </c>
      <c r="B13" s="44"/>
      <c r="C13" s="44"/>
      <c r="D13" s="17">
        <v>75</v>
      </c>
      <c r="E13" s="15"/>
      <c r="F13" s="15"/>
      <c r="G13" s="15"/>
      <c r="H13" s="15"/>
      <c r="I13" s="15"/>
    </row>
    <row r="14" spans="1:9">
      <c r="A14" s="15"/>
      <c r="B14" s="15"/>
      <c r="C14" s="15"/>
      <c r="D14" s="15"/>
      <c r="E14" s="15"/>
      <c r="F14" s="15"/>
      <c r="G14" s="15"/>
      <c r="H14" s="15"/>
      <c r="I14" s="15"/>
    </row>
    <row r="15" spans="1:9" ht="34" customHeight="1">
      <c r="A15" s="42" t="s">
        <v>1</v>
      </c>
      <c r="B15" s="42" t="s">
        <v>2</v>
      </c>
      <c r="C15" s="42" t="s">
        <v>3</v>
      </c>
      <c r="D15" s="42" t="s">
        <v>0</v>
      </c>
      <c r="E15" s="42" t="s">
        <v>36</v>
      </c>
      <c r="F15" s="42" t="s">
        <v>25</v>
      </c>
      <c r="G15" s="42" t="s">
        <v>24</v>
      </c>
      <c r="H15" s="4"/>
      <c r="I15" s="3"/>
    </row>
    <row r="16" spans="1:9">
      <c r="A16" s="29" t="s">
        <v>27</v>
      </c>
      <c r="B16" s="5" t="s">
        <v>5</v>
      </c>
      <c r="C16" s="29">
        <v>3.69</v>
      </c>
      <c r="D16" s="5" t="s">
        <v>4</v>
      </c>
      <c r="E16" s="5">
        <f>C16*7</f>
        <v>25.83</v>
      </c>
      <c r="F16" s="18">
        <f t="shared" ref="F16:F23" si="0">E16/$D$13</f>
        <v>0.34439999999999998</v>
      </c>
      <c r="G16" s="5" t="str">
        <f>IF(F16&gt;0.15,"PASS","FAIL")</f>
        <v>PASS</v>
      </c>
      <c r="H16" s="3"/>
      <c r="I16" s="3"/>
    </row>
    <row r="17" spans="1:9">
      <c r="A17" s="29" t="s">
        <v>28</v>
      </c>
      <c r="B17" s="5" t="s">
        <v>5</v>
      </c>
      <c r="C17" s="29">
        <v>4.8</v>
      </c>
      <c r="D17" s="5" t="s">
        <v>4</v>
      </c>
      <c r="E17" s="5">
        <f t="shared" ref="E17:E23" si="1">C17*7</f>
        <v>33.6</v>
      </c>
      <c r="F17" s="18">
        <f t="shared" si="0"/>
        <v>0.44800000000000001</v>
      </c>
      <c r="G17" s="5" t="str">
        <f t="shared" ref="G17:G23" si="2">IF(F17&gt;0.15,"PASS","FAIL")</f>
        <v>PASS</v>
      </c>
      <c r="H17" s="3"/>
      <c r="I17" s="3"/>
    </row>
    <row r="18" spans="1:9">
      <c r="A18" s="29" t="s">
        <v>29</v>
      </c>
      <c r="B18" s="5" t="s">
        <v>5</v>
      </c>
      <c r="C18" s="29">
        <v>3.21</v>
      </c>
      <c r="D18" s="5" t="s">
        <v>4</v>
      </c>
      <c r="E18" s="5">
        <f t="shared" si="1"/>
        <v>22.47</v>
      </c>
      <c r="F18" s="18">
        <f t="shared" si="0"/>
        <v>0.29959999999999998</v>
      </c>
      <c r="G18" s="5" t="str">
        <f t="shared" si="2"/>
        <v>PASS</v>
      </c>
      <c r="H18" s="8"/>
      <c r="I18" s="3"/>
    </row>
    <row r="19" spans="1:9">
      <c r="A19" s="29" t="s">
        <v>30</v>
      </c>
      <c r="B19" s="5" t="s">
        <v>5</v>
      </c>
      <c r="C19" s="29">
        <v>2.5099999999999998</v>
      </c>
      <c r="D19" s="5" t="s">
        <v>4</v>
      </c>
      <c r="E19" s="5">
        <f t="shared" si="1"/>
        <v>17.57</v>
      </c>
      <c r="F19" s="18">
        <f t="shared" si="0"/>
        <v>0.23426666666666668</v>
      </c>
      <c r="G19" s="5" t="str">
        <f t="shared" si="2"/>
        <v>PASS</v>
      </c>
      <c r="H19" s="8"/>
      <c r="I19" s="3"/>
    </row>
    <row r="20" spans="1:9">
      <c r="A20" s="29" t="s">
        <v>31</v>
      </c>
      <c r="B20" s="5" t="s">
        <v>5</v>
      </c>
      <c r="C20" s="29">
        <v>2.98</v>
      </c>
      <c r="D20" s="5" t="s">
        <v>4</v>
      </c>
      <c r="E20" s="5">
        <f t="shared" si="1"/>
        <v>20.86</v>
      </c>
      <c r="F20" s="18">
        <f t="shared" si="0"/>
        <v>0.27813333333333334</v>
      </c>
      <c r="G20" s="5" t="str">
        <f t="shared" si="2"/>
        <v>PASS</v>
      </c>
      <c r="H20" s="8"/>
      <c r="I20" s="3"/>
    </row>
    <row r="21" spans="1:9">
      <c r="A21" s="29" t="s">
        <v>32</v>
      </c>
      <c r="B21" s="5" t="s">
        <v>5</v>
      </c>
      <c r="C21" s="29">
        <v>3.05</v>
      </c>
      <c r="D21" s="5" t="s">
        <v>4</v>
      </c>
      <c r="E21" s="5">
        <f t="shared" si="1"/>
        <v>21.349999999999998</v>
      </c>
      <c r="F21" s="18">
        <f t="shared" si="0"/>
        <v>0.28466666666666662</v>
      </c>
      <c r="G21" s="5" t="str">
        <f t="shared" si="2"/>
        <v>PASS</v>
      </c>
      <c r="H21" s="8"/>
      <c r="I21" s="3"/>
    </row>
    <row r="22" spans="1:9">
      <c r="A22" s="29" t="s">
        <v>33</v>
      </c>
      <c r="B22" s="5" t="s">
        <v>5</v>
      </c>
      <c r="C22" s="29">
        <v>2.4500000000000002</v>
      </c>
      <c r="D22" s="5" t="s">
        <v>4</v>
      </c>
      <c r="E22" s="5">
        <f t="shared" si="1"/>
        <v>17.150000000000002</v>
      </c>
      <c r="F22" s="18">
        <f t="shared" si="0"/>
        <v>0.22866666666666668</v>
      </c>
      <c r="G22" s="5" t="str">
        <f t="shared" si="2"/>
        <v>PASS</v>
      </c>
      <c r="H22" s="15"/>
      <c r="I22" s="15"/>
    </row>
    <row r="23" spans="1:9">
      <c r="A23" s="29" t="s">
        <v>34</v>
      </c>
      <c r="B23" s="5" t="s">
        <v>5</v>
      </c>
      <c r="C23" s="29">
        <v>3.18</v>
      </c>
      <c r="D23" s="5" t="s">
        <v>4</v>
      </c>
      <c r="E23" s="5">
        <f t="shared" si="1"/>
        <v>22.26</v>
      </c>
      <c r="F23" s="18">
        <f t="shared" si="0"/>
        <v>0.29680000000000001</v>
      </c>
      <c r="G23" s="5" t="str">
        <f t="shared" si="2"/>
        <v>PASS</v>
      </c>
      <c r="H23" s="15"/>
      <c r="I23" s="15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</sheetData>
  <phoneticPr fontId="17" type="noConversion"/>
  <pageMargins left="0.7" right="0.7" top="0.75" bottom="0.75" header="0.3" footer="0.3"/>
  <pageSetup scale="63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T49"/>
  <sheetViews>
    <sheetView showGridLines="0" tabSelected="1" workbookViewId="0">
      <selection activeCell="E3" sqref="E3"/>
    </sheetView>
  </sheetViews>
  <sheetFormatPr baseColWidth="10" defaultRowHeight="16"/>
  <cols>
    <col min="1" max="1" width="17.33203125" customWidth="1"/>
    <col min="2" max="2" width="9.83203125" customWidth="1"/>
    <col min="3" max="3" width="7.5" customWidth="1"/>
    <col min="4" max="4" width="8.1640625" customWidth="1"/>
    <col min="5" max="5" width="11" bestFit="1" customWidth="1"/>
    <col min="9" max="10" width="9.5" customWidth="1"/>
    <col min="15" max="15" width="12.1640625" bestFit="1" customWidth="1"/>
    <col min="16" max="16" width="13.6640625" bestFit="1" customWidth="1"/>
    <col min="17" max="17" width="12.1640625" bestFit="1" customWidth="1"/>
    <col min="18" max="18" width="21.83203125" customWidth="1"/>
    <col min="19" max="19" width="10.1640625" bestFit="1" customWidth="1"/>
  </cols>
  <sheetData>
    <row r="5" spans="1:9" ht="19">
      <c r="A5" s="32" t="s">
        <v>59</v>
      </c>
      <c r="B5" s="33"/>
      <c r="C5" s="33"/>
    </row>
    <row r="6" spans="1:9" s="24" customFormat="1">
      <c r="A6" s="15" t="s">
        <v>72</v>
      </c>
    </row>
    <row r="7" spans="1:9" ht="5" customHeight="1"/>
    <row r="8" spans="1:9">
      <c r="A8" s="14" t="s">
        <v>54</v>
      </c>
      <c r="B8" s="15"/>
      <c r="C8" s="15"/>
      <c r="D8" s="15"/>
      <c r="E8" s="15"/>
      <c r="F8" s="15"/>
      <c r="G8" s="15"/>
      <c r="H8" s="15"/>
      <c r="I8" s="15"/>
    </row>
    <row r="9" spans="1:9" s="6" customFormat="1">
      <c r="A9" s="6" t="s">
        <v>73</v>
      </c>
    </row>
    <row r="10" spans="1:9">
      <c r="A10" s="15" t="s">
        <v>62</v>
      </c>
      <c r="B10" s="15"/>
      <c r="C10" s="15"/>
      <c r="D10" s="15"/>
      <c r="E10" s="15"/>
      <c r="F10" s="15"/>
      <c r="G10" s="15"/>
      <c r="H10" s="15"/>
      <c r="I10" s="15"/>
    </row>
    <row r="11" spans="1:9">
      <c r="A11" t="s">
        <v>63</v>
      </c>
    </row>
    <row r="12" spans="1:9" s="1" customFormat="1">
      <c r="A12" s="16" t="s">
        <v>65</v>
      </c>
      <c r="B12" s="16"/>
      <c r="C12" s="16"/>
      <c r="D12" s="16"/>
      <c r="E12" s="16"/>
      <c r="F12" s="16"/>
      <c r="G12" s="16"/>
      <c r="H12" s="16"/>
      <c r="I12" s="16"/>
    </row>
    <row r="13" spans="1:9">
      <c r="A13" t="s">
        <v>44</v>
      </c>
    </row>
    <row r="14" spans="1:9">
      <c r="A14" t="s">
        <v>66</v>
      </c>
    </row>
    <row r="15" spans="1:9" s="1" customFormat="1">
      <c r="A15" s="1" t="s">
        <v>67</v>
      </c>
    </row>
    <row r="16" spans="1:9" s="1" customFormat="1">
      <c r="A16" s="1" t="s">
        <v>64</v>
      </c>
    </row>
    <row r="17" spans="1:10" s="1" customFormat="1"/>
    <row r="18" spans="1:10" ht="21">
      <c r="A18" s="37" t="s">
        <v>61</v>
      </c>
    </row>
    <row r="19" spans="1:10">
      <c r="A19" s="14"/>
    </row>
    <row r="20" spans="1:10">
      <c r="A20" s="40" t="s">
        <v>1</v>
      </c>
      <c r="B20" s="40" t="s">
        <v>37</v>
      </c>
      <c r="C20" s="40" t="s">
        <v>38</v>
      </c>
      <c r="D20" s="40" t="s">
        <v>39</v>
      </c>
      <c r="E20" s="40" t="s">
        <v>40</v>
      </c>
      <c r="F20" s="40" t="s">
        <v>41</v>
      </c>
      <c r="G20" s="40" t="s">
        <v>7</v>
      </c>
      <c r="H20" s="40" t="s">
        <v>8</v>
      </c>
      <c r="I20" s="40" t="s">
        <v>42</v>
      </c>
      <c r="J20" s="7"/>
    </row>
    <row r="21" spans="1:10">
      <c r="A21" s="25" t="s">
        <v>47</v>
      </c>
      <c r="B21" s="27">
        <v>9.66</v>
      </c>
      <c r="C21" s="27">
        <v>9.69</v>
      </c>
      <c r="D21" s="27">
        <v>9.2899999999999991</v>
      </c>
      <c r="E21" s="20">
        <f>AVERAGE(B21:D21)</f>
        <v>9.5466666666666669</v>
      </c>
      <c r="F21" s="20">
        <f>STDEV(B21:D21)</f>
        <v>0.22278539748675966</v>
      </c>
      <c r="G21" s="20">
        <v>20</v>
      </c>
      <c r="H21" s="20">
        <f>IFERROR((LOG10(G21)),"-")</f>
        <v>1.3010299956639813</v>
      </c>
      <c r="I21" s="20" t="s">
        <v>56</v>
      </c>
    </row>
    <row r="22" spans="1:10">
      <c r="A22" s="25" t="s">
        <v>48</v>
      </c>
      <c r="B22" s="27">
        <v>12.61</v>
      </c>
      <c r="C22" s="27">
        <v>12.7</v>
      </c>
      <c r="D22" s="27">
        <v>12.61</v>
      </c>
      <c r="E22" s="20">
        <f t="shared" ref="E22:E27" si="0">AVERAGE(B22:D22)</f>
        <v>12.64</v>
      </c>
      <c r="F22" s="20">
        <f t="shared" ref="F22:F27" si="1">STDEV(B22:D22)</f>
        <v>5.1961524227066236E-2</v>
      </c>
      <c r="G22" s="20">
        <v>2</v>
      </c>
      <c r="H22" s="20">
        <f t="shared" ref="H22:H27" si="2">IFERROR((LOG10(G22)),"-")</f>
        <v>0.3010299956639812</v>
      </c>
      <c r="I22" s="20">
        <f>E22-E21</f>
        <v>3.0933333333333337</v>
      </c>
    </row>
    <row r="23" spans="1:10">
      <c r="A23" s="25" t="s">
        <v>49</v>
      </c>
      <c r="B23" s="27">
        <v>16.07</v>
      </c>
      <c r="C23" s="27">
        <v>15.84</v>
      </c>
      <c r="D23" s="27">
        <v>15.97</v>
      </c>
      <c r="E23" s="20">
        <f t="shared" si="0"/>
        <v>15.96</v>
      </c>
      <c r="F23" s="20">
        <f t="shared" si="1"/>
        <v>0.1153256259467082</v>
      </c>
      <c r="G23" s="20">
        <v>0.2</v>
      </c>
      <c r="H23" s="20">
        <f t="shared" si="2"/>
        <v>-0.69897000433601875</v>
      </c>
      <c r="I23" s="20">
        <f t="shared" ref="I23:I26" si="3">E23-E22</f>
        <v>3.3200000000000003</v>
      </c>
    </row>
    <row r="24" spans="1:10">
      <c r="A24" s="25" t="s">
        <v>50</v>
      </c>
      <c r="B24" s="27">
        <v>19.309999999999999</v>
      </c>
      <c r="C24" s="27">
        <v>19.43</v>
      </c>
      <c r="D24" s="27">
        <v>19.5</v>
      </c>
      <c r="E24" s="20">
        <f t="shared" si="0"/>
        <v>19.41333333333333</v>
      </c>
      <c r="F24" s="20">
        <f t="shared" si="1"/>
        <v>9.6090235369331159E-2</v>
      </c>
      <c r="G24" s="20">
        <v>0.02</v>
      </c>
      <c r="H24" s="20">
        <f t="shared" si="2"/>
        <v>-1.6989700043360187</v>
      </c>
      <c r="I24" s="20">
        <f t="shared" si="3"/>
        <v>3.4533333333333296</v>
      </c>
    </row>
    <row r="25" spans="1:10">
      <c r="A25" s="25" t="s">
        <v>51</v>
      </c>
      <c r="B25" s="27">
        <v>23.2</v>
      </c>
      <c r="C25" s="27">
        <v>23.12</v>
      </c>
      <c r="D25" s="27">
        <v>22.5</v>
      </c>
      <c r="E25" s="20">
        <f t="shared" si="0"/>
        <v>22.939999999999998</v>
      </c>
      <c r="F25" s="20">
        <f t="shared" si="1"/>
        <v>0.38314488121336032</v>
      </c>
      <c r="G25" s="20">
        <v>2E-3</v>
      </c>
      <c r="H25" s="20">
        <f t="shared" si="2"/>
        <v>-2.6989700043360187</v>
      </c>
      <c r="I25" s="20">
        <f t="shared" si="3"/>
        <v>3.5266666666666673</v>
      </c>
    </row>
    <row r="26" spans="1:10">
      <c r="A26" s="25" t="s">
        <v>52</v>
      </c>
      <c r="B26" s="27">
        <v>25.97</v>
      </c>
      <c r="C26" s="27">
        <v>26.17</v>
      </c>
      <c r="D26" s="27">
        <v>26.18</v>
      </c>
      <c r="E26" s="20">
        <f t="shared" si="0"/>
        <v>26.106666666666666</v>
      </c>
      <c r="F26" s="20">
        <f t="shared" si="1"/>
        <v>0.11846237095944676</v>
      </c>
      <c r="G26" s="20">
        <v>2.0000000000000001E-4</v>
      </c>
      <c r="H26" s="20">
        <f t="shared" si="2"/>
        <v>-3.6989700043360187</v>
      </c>
      <c r="I26" s="20">
        <f t="shared" si="3"/>
        <v>3.1666666666666679</v>
      </c>
    </row>
    <row r="27" spans="1:10">
      <c r="A27" s="25" t="s">
        <v>53</v>
      </c>
      <c r="B27" s="28">
        <v>30</v>
      </c>
      <c r="C27" s="28">
        <v>30</v>
      </c>
      <c r="D27" s="28">
        <v>30</v>
      </c>
      <c r="E27" s="20">
        <f t="shared" si="0"/>
        <v>30</v>
      </c>
      <c r="F27" s="20">
        <f t="shared" si="1"/>
        <v>0</v>
      </c>
      <c r="G27" s="20">
        <v>0</v>
      </c>
      <c r="H27" s="20" t="str">
        <f t="shared" si="2"/>
        <v>-</v>
      </c>
      <c r="I27" s="20" t="s">
        <v>57</v>
      </c>
    </row>
    <row r="29" spans="1:10">
      <c r="A29" s="41" t="s">
        <v>9</v>
      </c>
      <c r="B29" s="19">
        <f>SLOPE(E20:E26,H20:H26)</f>
        <v>-3.3472380952380947</v>
      </c>
    </row>
    <row r="30" spans="1:10">
      <c r="A30" s="41" t="s">
        <v>10</v>
      </c>
      <c r="B30" s="19">
        <f>INTERCEPT(E20:E26,H20:H26)</f>
        <v>13.754539704216471</v>
      </c>
    </row>
    <row r="32" spans="1:10">
      <c r="A32" s="23" t="s">
        <v>43</v>
      </c>
      <c r="B32" s="24"/>
      <c r="C32" s="24"/>
      <c r="D32" s="36">
        <v>20</v>
      </c>
      <c r="E32" s="24" t="s">
        <v>6</v>
      </c>
    </row>
    <row r="33" spans="1:20">
      <c r="A33" s="23" t="s">
        <v>68</v>
      </c>
      <c r="B33" s="24"/>
      <c r="C33" s="24"/>
      <c r="D33" s="24">
        <v>25</v>
      </c>
      <c r="E33" s="24" t="s">
        <v>6</v>
      </c>
    </row>
    <row r="34" spans="1:20">
      <c r="A34" s="23" t="s">
        <v>11</v>
      </c>
      <c r="B34" s="24"/>
      <c r="C34" s="24"/>
      <c r="D34" s="24">
        <v>0.75</v>
      </c>
      <c r="E34" s="24" t="s">
        <v>12</v>
      </c>
    </row>
    <row r="35" spans="1:20">
      <c r="A35" s="23" t="s">
        <v>69</v>
      </c>
      <c r="B35" s="24"/>
      <c r="C35" s="24"/>
      <c r="D35" s="24">
        <v>0.5</v>
      </c>
      <c r="E35" s="24" t="s">
        <v>12</v>
      </c>
    </row>
    <row r="38" spans="1:20" ht="21">
      <c r="A38" s="37" t="s">
        <v>26</v>
      </c>
    </row>
    <row r="39" spans="1:20">
      <c r="A39" s="14"/>
    </row>
    <row r="40" spans="1:20" s="22" customFormat="1" ht="33" customHeight="1">
      <c r="A40" s="40" t="s">
        <v>1</v>
      </c>
      <c r="B40" s="40" t="s">
        <v>13</v>
      </c>
      <c r="C40" s="40" t="s">
        <v>37</v>
      </c>
      <c r="D40" s="40" t="s">
        <v>38</v>
      </c>
      <c r="E40" s="40" t="s">
        <v>39</v>
      </c>
      <c r="F40" s="40" t="s">
        <v>40</v>
      </c>
      <c r="G40" s="40" t="s">
        <v>41</v>
      </c>
      <c r="H40" s="40" t="s">
        <v>14</v>
      </c>
      <c r="I40" s="40" t="s">
        <v>15</v>
      </c>
      <c r="J40" s="40" t="s">
        <v>16</v>
      </c>
      <c r="K40" s="40" t="s">
        <v>17</v>
      </c>
      <c r="L40" s="40" t="s">
        <v>18</v>
      </c>
      <c r="M40" s="40" t="s">
        <v>19</v>
      </c>
      <c r="N40" s="40" t="s">
        <v>20</v>
      </c>
      <c r="O40" s="40" t="s">
        <v>21</v>
      </c>
      <c r="P40" s="40" t="s">
        <v>22</v>
      </c>
      <c r="Q40" s="40" t="s">
        <v>23</v>
      </c>
      <c r="R40" s="42" t="s">
        <v>77</v>
      </c>
      <c r="S40" s="40" t="s">
        <v>35</v>
      </c>
      <c r="T40" s="40" t="s">
        <v>24</v>
      </c>
    </row>
    <row r="41" spans="1:20">
      <c r="A41" s="29" t="s">
        <v>27</v>
      </c>
      <c r="B41" s="9">
        <v>1000</v>
      </c>
      <c r="C41" s="28">
        <v>15.85</v>
      </c>
      <c r="D41" s="28">
        <v>15.74</v>
      </c>
      <c r="E41" s="28">
        <v>15.96</v>
      </c>
      <c r="F41" s="21">
        <f>AVERAGE(C41:E41)</f>
        <v>15.85</v>
      </c>
      <c r="G41" s="21">
        <f>STDEV(C41:E41)</f>
        <v>0.11000000000000032</v>
      </c>
      <c r="H41" s="26">
        <f t="shared" ref="H41:H48" si="4">(F41-$B$30)/$B$29</f>
        <v>-0.6260266632256033</v>
      </c>
      <c r="I41" s="9">
        <v>550</v>
      </c>
      <c r="J41" s="21">
        <f>10^H41*(452/I41)*B41/1000</f>
        <v>0.19442364553260555</v>
      </c>
      <c r="K41" s="10">
        <f>660*I41</f>
        <v>363000</v>
      </c>
      <c r="L41" s="21">
        <f>((J41*0.000000001)*K41*0.000001)*1000000000</f>
        <v>7.057578332833582E-2</v>
      </c>
      <c r="M41" s="21">
        <f t="shared" ref="M41:M48" si="5">$D$32*L41</f>
        <v>1.4115156665667163</v>
      </c>
      <c r="N41" s="30">
        <v>9</v>
      </c>
      <c r="O41" s="21">
        <f t="shared" ref="O41:O48" si="6">(M41*(1+$D$34)^N41)*(1-$D$35)</f>
        <v>108.64209839434874</v>
      </c>
      <c r="P41" s="21">
        <f t="shared" ref="P41:P48" si="7">(O41/$D$33)</f>
        <v>4.3456839357739492</v>
      </c>
      <c r="Q41" s="21">
        <f>(P41*(0.001)/K41)*1000000000</f>
        <v>11.971581090286362</v>
      </c>
      <c r="R41" s="31">
        <v>648</v>
      </c>
      <c r="S41" s="12">
        <f>M41/R41</f>
        <v>2.1782649175412288E-3</v>
      </c>
      <c r="T41" s="2" t="str">
        <f>IF(S41&gt;0.002,"PASS","FAIL")</f>
        <v>PASS</v>
      </c>
    </row>
    <row r="42" spans="1:20">
      <c r="A42" s="29" t="s">
        <v>28</v>
      </c>
      <c r="B42" s="9">
        <v>1000</v>
      </c>
      <c r="C42" s="28">
        <v>14.31</v>
      </c>
      <c r="D42" s="28">
        <v>14.23</v>
      </c>
      <c r="E42" s="28">
        <v>14.05</v>
      </c>
      <c r="F42" s="21">
        <f t="shared" ref="F42:F48" si="8">AVERAGE(C42:E42)</f>
        <v>14.196666666666667</v>
      </c>
      <c r="G42" s="21">
        <f t="shared" ref="G42:G48" si="9">STDEV(C42:E42)</f>
        <v>0.13316656236958774</v>
      </c>
      <c r="H42" s="26">
        <f t="shared" si="4"/>
        <v>-0.13208709684536102</v>
      </c>
      <c r="I42" s="9">
        <v>550</v>
      </c>
      <c r="J42" s="21">
        <f t="shared" ref="J42:J48" si="10">10^H42*(452/I42)*B42/1000</f>
        <v>0.6063015080744063</v>
      </c>
      <c r="K42" s="10">
        <f t="shared" ref="K42:K48" si="11">660*I42</f>
        <v>363000</v>
      </c>
      <c r="L42" s="21">
        <f t="shared" ref="L42:L48" si="12">((J42*0.000000001)*K42*0.000001)*1000000000</f>
        <v>0.22008744743100947</v>
      </c>
      <c r="M42" s="21">
        <f t="shared" si="5"/>
        <v>4.4017489486201891</v>
      </c>
      <c r="N42" s="30">
        <v>7</v>
      </c>
      <c r="O42" s="21">
        <f t="shared" si="6"/>
        <v>110.62712202128651</v>
      </c>
      <c r="P42" s="21">
        <f t="shared" si="7"/>
        <v>4.4250848808514602</v>
      </c>
      <c r="Q42" s="21">
        <f t="shared" ref="Q42:Q48" si="13">(P42*(0.001)/K42)*1000000000</f>
        <v>12.190316476174823</v>
      </c>
      <c r="R42" s="31">
        <v>686.40000000000009</v>
      </c>
      <c r="S42" s="12">
        <f t="shared" ref="S42:S48" si="14">M42/R42</f>
        <v>6.4128044123254492E-3</v>
      </c>
      <c r="T42" s="2" t="str">
        <f t="shared" ref="T42:T48" si="15">IF(S42&gt;0.002,"PASS","FAIL")</f>
        <v>PASS</v>
      </c>
    </row>
    <row r="43" spans="1:20">
      <c r="A43" s="29" t="s">
        <v>29</v>
      </c>
      <c r="B43" s="9">
        <v>1000</v>
      </c>
      <c r="C43" s="28">
        <v>11.35</v>
      </c>
      <c r="D43" s="28">
        <v>11.34</v>
      </c>
      <c r="E43" s="28">
        <v>11.37</v>
      </c>
      <c r="F43" s="21">
        <f t="shared" si="8"/>
        <v>11.353333333333332</v>
      </c>
      <c r="G43" s="21">
        <f t="shared" si="9"/>
        <v>1.5275252316519142E-2</v>
      </c>
      <c r="H43" s="26">
        <f t="shared" si="4"/>
        <v>0.71736945582066147</v>
      </c>
      <c r="I43" s="9">
        <v>550</v>
      </c>
      <c r="J43" s="21">
        <f t="shared" si="10"/>
        <v>4.2869182439675244</v>
      </c>
      <c r="K43" s="10">
        <f t="shared" si="11"/>
        <v>363000</v>
      </c>
      <c r="L43" s="21">
        <f t="shared" si="12"/>
        <v>1.5561513225602117</v>
      </c>
      <c r="M43" s="21">
        <f t="shared" si="5"/>
        <v>31.123026451204233</v>
      </c>
      <c r="N43" s="30">
        <v>4</v>
      </c>
      <c r="O43" s="21">
        <f t="shared" si="6"/>
        <v>145.94997365105735</v>
      </c>
      <c r="P43" s="21">
        <f t="shared" si="7"/>
        <v>5.8379989460422941</v>
      </c>
      <c r="Q43" s="21">
        <f t="shared" si="13"/>
        <v>16.082641724634421</v>
      </c>
      <c r="R43" s="31">
        <v>561.59999999999991</v>
      </c>
      <c r="S43" s="12">
        <f t="shared" si="14"/>
        <v>5.541849439316994E-2</v>
      </c>
      <c r="T43" s="2" t="str">
        <f t="shared" si="15"/>
        <v>PASS</v>
      </c>
    </row>
    <row r="44" spans="1:20">
      <c r="A44" s="29" t="s">
        <v>30</v>
      </c>
      <c r="B44" s="9">
        <v>1000</v>
      </c>
      <c r="C44" s="28">
        <v>11.86</v>
      </c>
      <c r="D44" s="28">
        <v>11.96</v>
      </c>
      <c r="E44" s="28">
        <v>11.75</v>
      </c>
      <c r="F44" s="21">
        <f t="shared" si="8"/>
        <v>11.856666666666667</v>
      </c>
      <c r="G44" s="21">
        <f t="shared" si="9"/>
        <v>0.10503967504392528</v>
      </c>
      <c r="H44" s="26">
        <f t="shared" si="4"/>
        <v>0.56699672492667574</v>
      </c>
      <c r="I44" s="9">
        <v>550</v>
      </c>
      <c r="J44" s="21">
        <f t="shared" si="10"/>
        <v>3.0323021247996489</v>
      </c>
      <c r="K44" s="10">
        <f t="shared" si="11"/>
        <v>363000</v>
      </c>
      <c r="L44" s="21">
        <f t="shared" si="12"/>
        <v>1.1007256713022728</v>
      </c>
      <c r="M44" s="21">
        <f t="shared" si="5"/>
        <v>22.014513426045458</v>
      </c>
      <c r="N44" s="30">
        <v>4</v>
      </c>
      <c r="O44" s="21">
        <f t="shared" si="6"/>
        <v>103.23602878112332</v>
      </c>
      <c r="P44" s="21">
        <f t="shared" si="7"/>
        <v>4.1294411512449329</v>
      </c>
      <c r="Q44" s="21">
        <f t="shared" si="13"/>
        <v>11.375870940068687</v>
      </c>
      <c r="R44" s="31">
        <v>1046.4000000000001</v>
      </c>
      <c r="S44" s="12">
        <f t="shared" si="14"/>
        <v>2.1038334696144356E-2</v>
      </c>
      <c r="T44" s="2" t="str">
        <f t="shared" si="15"/>
        <v>PASS</v>
      </c>
    </row>
    <row r="45" spans="1:20">
      <c r="A45" s="29" t="s">
        <v>31</v>
      </c>
      <c r="B45" s="9">
        <v>1000</v>
      </c>
      <c r="C45" s="28">
        <v>13.86</v>
      </c>
      <c r="D45" s="28">
        <v>14.17</v>
      </c>
      <c r="E45" s="28">
        <v>14.31</v>
      </c>
      <c r="F45" s="21">
        <f t="shared" si="8"/>
        <v>14.113333333333335</v>
      </c>
      <c r="G45" s="21">
        <f t="shared" si="9"/>
        <v>0.23028967265887884</v>
      </c>
      <c r="H45" s="26">
        <f t="shared" si="4"/>
        <v>-0.10719094934635723</v>
      </c>
      <c r="I45" s="9">
        <v>550</v>
      </c>
      <c r="J45" s="21">
        <f t="shared" si="10"/>
        <v>0.64207357409579968</v>
      </c>
      <c r="K45" s="10">
        <f t="shared" si="11"/>
        <v>363000</v>
      </c>
      <c r="L45" s="21">
        <f t="shared" si="12"/>
        <v>0.23307270739677527</v>
      </c>
      <c r="M45" s="21">
        <f t="shared" si="5"/>
        <v>4.6614541479355056</v>
      </c>
      <c r="N45" s="30">
        <v>7</v>
      </c>
      <c r="O45" s="21">
        <f t="shared" si="6"/>
        <v>117.1541727707901</v>
      </c>
      <c r="P45" s="21">
        <f t="shared" si="7"/>
        <v>4.686166910831604</v>
      </c>
      <c r="Q45" s="21">
        <f t="shared" si="13"/>
        <v>12.909550718544363</v>
      </c>
      <c r="R45" s="31">
        <v>873.59999999999991</v>
      </c>
      <c r="S45" s="12">
        <f t="shared" si="14"/>
        <v>5.3359136308785554E-3</v>
      </c>
      <c r="T45" s="2" t="str">
        <f t="shared" si="15"/>
        <v>PASS</v>
      </c>
    </row>
    <row r="46" spans="1:20">
      <c r="A46" s="29" t="s">
        <v>32</v>
      </c>
      <c r="B46" s="9">
        <v>1000</v>
      </c>
      <c r="C46" s="28">
        <v>14.32</v>
      </c>
      <c r="D46" s="28">
        <v>14.16</v>
      </c>
      <c r="E46" s="28">
        <v>14.38</v>
      </c>
      <c r="F46" s="21">
        <f t="shared" si="8"/>
        <v>14.286666666666667</v>
      </c>
      <c r="G46" s="21">
        <f t="shared" si="9"/>
        <v>0.11372481406154682</v>
      </c>
      <c r="H46" s="26">
        <f t="shared" si="4"/>
        <v>-0.15897493614428548</v>
      </c>
      <c r="I46" s="9">
        <v>550</v>
      </c>
      <c r="J46" s="21">
        <f t="shared" si="10"/>
        <v>0.56990282421562544</v>
      </c>
      <c r="K46" s="10">
        <f t="shared" si="11"/>
        <v>363000</v>
      </c>
      <c r="L46" s="21">
        <f t="shared" si="12"/>
        <v>0.20687472519027206</v>
      </c>
      <c r="M46" s="21">
        <f t="shared" si="5"/>
        <v>4.1374945038054411</v>
      </c>
      <c r="N46" s="30">
        <v>7</v>
      </c>
      <c r="O46" s="21">
        <f t="shared" si="6"/>
        <v>103.98573718711684</v>
      </c>
      <c r="P46" s="21">
        <f t="shared" si="7"/>
        <v>4.1594294874846733</v>
      </c>
      <c r="Q46" s="21">
        <f t="shared" si="13"/>
        <v>11.458483436596897</v>
      </c>
      <c r="R46" s="31">
        <v>715.2</v>
      </c>
      <c r="S46" s="12">
        <f t="shared" si="14"/>
        <v>5.7850873934639831E-3</v>
      </c>
      <c r="T46" s="2" t="str">
        <f t="shared" si="15"/>
        <v>PASS</v>
      </c>
    </row>
    <row r="47" spans="1:20">
      <c r="A47" s="29" t="s">
        <v>33</v>
      </c>
      <c r="B47" s="9">
        <v>1000</v>
      </c>
      <c r="C47" s="28">
        <v>13.72</v>
      </c>
      <c r="D47" s="28">
        <v>14.14</v>
      </c>
      <c r="E47" s="28">
        <v>13.75</v>
      </c>
      <c r="F47" s="21">
        <f t="shared" si="8"/>
        <v>13.87</v>
      </c>
      <c r="G47" s="21">
        <f t="shared" si="9"/>
        <v>0.23430749027719977</v>
      </c>
      <c r="H47" s="26">
        <f t="shared" si="4"/>
        <v>-3.4494198649264333E-2</v>
      </c>
      <c r="I47" s="9">
        <v>550</v>
      </c>
      <c r="J47" s="21">
        <f t="shared" si="10"/>
        <v>0.75906950905364423</v>
      </c>
      <c r="K47" s="10">
        <f t="shared" si="11"/>
        <v>363000</v>
      </c>
      <c r="L47" s="21">
        <f t="shared" si="12"/>
        <v>0.27554223178647286</v>
      </c>
      <c r="M47" s="21">
        <f t="shared" si="5"/>
        <v>5.5108446357294572</v>
      </c>
      <c r="N47" s="30">
        <v>7</v>
      </c>
      <c r="O47" s="21">
        <f t="shared" si="6"/>
        <v>138.5015113477339</v>
      </c>
      <c r="P47" s="21">
        <f t="shared" si="7"/>
        <v>5.5400604539093559</v>
      </c>
      <c r="Q47" s="21">
        <f t="shared" si="13"/>
        <v>15.261874528675913</v>
      </c>
      <c r="R47" s="31">
        <v>466.56000000000006</v>
      </c>
      <c r="S47" s="12">
        <f t="shared" si="14"/>
        <v>1.1811652597156757E-2</v>
      </c>
      <c r="T47" s="2" t="str">
        <f t="shared" si="15"/>
        <v>PASS</v>
      </c>
    </row>
    <row r="48" spans="1:20">
      <c r="A48" s="29" t="s">
        <v>34</v>
      </c>
      <c r="B48" s="9">
        <v>1000</v>
      </c>
      <c r="C48" s="28">
        <v>11.71</v>
      </c>
      <c r="D48" s="28">
        <v>11.95</v>
      </c>
      <c r="E48" s="28">
        <v>11.67</v>
      </c>
      <c r="F48" s="21">
        <f t="shared" si="8"/>
        <v>11.776666666666666</v>
      </c>
      <c r="G48" s="21">
        <f t="shared" si="9"/>
        <v>0.15143755588800673</v>
      </c>
      <c r="H48" s="26">
        <f t="shared" si="4"/>
        <v>0.59089702652572018</v>
      </c>
      <c r="I48" s="9">
        <v>550</v>
      </c>
      <c r="J48" s="21">
        <f t="shared" si="10"/>
        <v>3.2038544044879931</v>
      </c>
      <c r="K48" s="10">
        <f t="shared" si="11"/>
        <v>363000</v>
      </c>
      <c r="L48" s="21">
        <f t="shared" si="12"/>
        <v>1.1629991488291416</v>
      </c>
      <c r="M48" s="21">
        <f t="shared" si="5"/>
        <v>23.259982976582833</v>
      </c>
      <c r="N48" s="30">
        <v>4</v>
      </c>
      <c r="O48" s="21">
        <f t="shared" si="6"/>
        <v>109.07659985698317</v>
      </c>
      <c r="P48" s="21">
        <f t="shared" si="7"/>
        <v>4.3630639942793268</v>
      </c>
      <c r="Q48" s="21">
        <f t="shared" si="13"/>
        <v>12.019460039336989</v>
      </c>
      <c r="R48" s="31">
        <v>561.59999999999991</v>
      </c>
      <c r="S48" s="12">
        <f t="shared" si="14"/>
        <v>4.1417348605026418E-2</v>
      </c>
      <c r="T48" s="2" t="str">
        <f t="shared" si="15"/>
        <v>PASS</v>
      </c>
    </row>
    <row r="49" spans="13:13">
      <c r="M49" s="11"/>
    </row>
  </sheetData>
  <phoneticPr fontId="17" type="noConversion"/>
  <pageMargins left="0.7" right="0.7" top="0.75" bottom="0.75" header="0.3" footer="0.3"/>
  <pageSetup scale="48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Arima-QC1</vt:lpstr>
      <vt:lpstr>Arima-QC2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2017-09-27T22:03:21Z</dcterms:created>
  <dcterms:modified xsi:type="dcterms:W3CDTF">2018-10-26T18:35:11Z</dcterms:modified>
</cp:coreProperties>
</file>