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Users/andrewkao/Downloads/"/>
    </mc:Choice>
  </mc:AlternateContent>
  <xr:revisionPtr revIDLastSave="0" documentId="8_{7F306D72-B164-45B6-9784-6F20B89E9704}" xr6:coauthVersionLast="47" xr6:coauthVersionMax="47" xr10:uidLastSave="{00000000-0000-0000-0000-000000000000}"/>
  <bookViews>
    <workbookView xWindow="0" yWindow="500" windowWidth="28800" windowHeight="16340" tabRatio="500" xr2:uid="{00000000-000D-0000-FFFF-FFFF00000000}"/>
  </bookViews>
  <sheets>
    <sheet name="Cover Page" sheetId="9" r:id="rId1"/>
    <sheet name="Arima-QC1" sheetId="2" r:id="rId2"/>
    <sheet name="Arima-QC2" sheetId="8" r:id="rId3"/>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7" i="2" l="1"/>
  <c r="N18" i="2"/>
  <c r="N19" i="2"/>
  <c r="N20" i="2"/>
  <c r="N21" i="2"/>
  <c r="N22" i="2"/>
  <c r="N23" i="2"/>
  <c r="N16" i="2"/>
  <c r="A30" i="2"/>
  <c r="A31" i="2"/>
  <c r="A32" i="2"/>
  <c r="A33" i="2"/>
  <c r="A34" i="2"/>
  <c r="A35" i="2"/>
  <c r="A36" i="2"/>
  <c r="A29" i="2"/>
  <c r="I17" i="2"/>
  <c r="I18" i="2"/>
  <c r="I19" i="2"/>
  <c r="I20" i="2"/>
  <c r="I21" i="2"/>
  <c r="I22" i="2"/>
  <c r="I23" i="2"/>
  <c r="I16" i="2"/>
  <c r="F17" i="2"/>
  <c r="G17" i="2" s="1"/>
  <c r="F18" i="2"/>
  <c r="G18" i="2" s="1"/>
  <c r="F19" i="2"/>
  <c r="G19" i="2" s="1"/>
  <c r="F20" i="2"/>
  <c r="G20" i="2" s="1"/>
  <c r="F21" i="2"/>
  <c r="G21" i="2" s="1"/>
  <c r="F22" i="2"/>
  <c r="G22" i="2" s="1"/>
  <c r="F23" i="2"/>
  <c r="G23" i="2" s="1"/>
  <c r="F16" i="2"/>
  <c r="G16" i="2" s="1"/>
  <c r="M23" i="2"/>
  <c r="M22" i="2"/>
  <c r="M21" i="2"/>
  <c r="M20" i="2"/>
  <c r="M19" i="2"/>
  <c r="M18" i="2"/>
  <c r="M17" i="2"/>
  <c r="M16" i="2"/>
  <c r="E36" i="2"/>
  <c r="E35" i="2"/>
  <c r="E34" i="2"/>
  <c r="E33" i="2"/>
  <c r="E32" i="2"/>
  <c r="E31" i="2"/>
  <c r="E30" i="2"/>
  <c r="E29" i="2"/>
  <c r="E17" i="2"/>
  <c r="E18" i="2"/>
  <c r="E19" i="2"/>
  <c r="E20" i="2"/>
  <c r="E21" i="2"/>
  <c r="E22" i="2"/>
  <c r="E23" i="2"/>
  <c r="E16" i="2"/>
  <c r="O20" i="2" l="1"/>
  <c r="O17" i="2"/>
  <c r="O16" i="2"/>
  <c r="O18" i="2"/>
  <c r="O19" i="2"/>
  <c r="O21" i="2"/>
  <c r="O22" i="2"/>
  <c r="O23" i="2"/>
  <c r="G42" i="8" l="1"/>
  <c r="G43" i="8"/>
  <c r="G44" i="8"/>
  <c r="G45" i="8"/>
  <c r="G46" i="8"/>
  <c r="G47" i="8"/>
  <c r="G48" i="8"/>
  <c r="F42" i="8"/>
  <c r="F43" i="8"/>
  <c r="F44" i="8"/>
  <c r="F45" i="8"/>
  <c r="F46" i="8"/>
  <c r="F47" i="8"/>
  <c r="F48" i="8"/>
  <c r="F41" i="8"/>
  <c r="H22" i="8"/>
  <c r="H23" i="8"/>
  <c r="H24" i="8"/>
  <c r="H25" i="8"/>
  <c r="H26" i="8"/>
  <c r="H27" i="8"/>
  <c r="H21" i="8"/>
  <c r="F22" i="8"/>
  <c r="F23" i="8"/>
  <c r="F24" i="8"/>
  <c r="F25" i="8"/>
  <c r="F26" i="8"/>
  <c r="F27" i="8"/>
  <c r="E22" i="8"/>
  <c r="E23" i="8"/>
  <c r="E24" i="8"/>
  <c r="E25" i="8"/>
  <c r="E26" i="8"/>
  <c r="E27" i="8"/>
  <c r="E21" i="8"/>
  <c r="K42" i="8"/>
  <c r="K43" i="8"/>
  <c r="K44" i="8"/>
  <c r="K45" i="8"/>
  <c r="K46" i="8"/>
  <c r="K47" i="8"/>
  <c r="K48" i="8"/>
  <c r="K41" i="8"/>
  <c r="G41" i="8"/>
  <c r="F21" i="8"/>
  <c r="I23" i="8" l="1"/>
  <c r="I22" i="8"/>
  <c r="I26" i="8"/>
  <c r="I24" i="8"/>
  <c r="B29" i="8"/>
  <c r="B30" i="8"/>
  <c r="I25" i="8"/>
  <c r="H46" i="8" l="1"/>
  <c r="J46" i="8" s="1"/>
  <c r="L46" i="8" s="1"/>
  <c r="M46" i="8" s="1"/>
  <c r="S46" i="8" s="1"/>
  <c r="T46" i="8" s="1"/>
  <c r="H47" i="8"/>
  <c r="J47" i="8" s="1"/>
  <c r="L47" i="8" s="1"/>
  <c r="M47" i="8" s="1"/>
  <c r="S47" i="8" s="1"/>
  <c r="T47" i="8" s="1"/>
  <c r="H48" i="8"/>
  <c r="J48" i="8" s="1"/>
  <c r="L48" i="8" s="1"/>
  <c r="M48" i="8" s="1"/>
  <c r="O48" i="8" s="1"/>
  <c r="P48" i="8" s="1"/>
  <c r="Q48" i="8" s="1"/>
  <c r="H41" i="8"/>
  <c r="J41" i="8" s="1"/>
  <c r="L41" i="8" s="1"/>
  <c r="M41" i="8" s="1"/>
  <c r="O41" i="8" s="1"/>
  <c r="P41" i="8" s="1"/>
  <c r="Q41" i="8" s="1"/>
  <c r="H45" i="8"/>
  <c r="J45" i="8" s="1"/>
  <c r="L45" i="8" s="1"/>
  <c r="M45" i="8" s="1"/>
  <c r="H44" i="8"/>
  <c r="J44" i="8" s="1"/>
  <c r="L44" i="8" s="1"/>
  <c r="M44" i="8" s="1"/>
  <c r="O44" i="8" s="1"/>
  <c r="P44" i="8" s="1"/>
  <c r="Q44" i="8" s="1"/>
  <c r="H43" i="8"/>
  <c r="J43" i="8" s="1"/>
  <c r="L43" i="8" s="1"/>
  <c r="M43" i="8" s="1"/>
  <c r="S43" i="8" s="1"/>
  <c r="T43" i="8" s="1"/>
  <c r="H42" i="8"/>
  <c r="J42" i="8" s="1"/>
  <c r="L42" i="8" s="1"/>
  <c r="M42" i="8" s="1"/>
  <c r="O47" i="8"/>
  <c r="P47" i="8" s="1"/>
  <c r="Q47" i="8" s="1"/>
  <c r="O46" i="8" l="1"/>
  <c r="P46" i="8" s="1"/>
  <c r="Q46" i="8" s="1"/>
  <c r="S44" i="8"/>
  <c r="T44" i="8" s="1"/>
  <c r="S41" i="8"/>
  <c r="T41" i="8" s="1"/>
  <c r="O42" i="8"/>
  <c r="P42" i="8" s="1"/>
  <c r="Q42" i="8" s="1"/>
  <c r="S42" i="8"/>
  <c r="T42" i="8" s="1"/>
  <c r="S48" i="8"/>
  <c r="T48" i="8" s="1"/>
  <c r="O43" i="8"/>
  <c r="P43" i="8" s="1"/>
  <c r="Q43" i="8" s="1"/>
  <c r="S45" i="8"/>
  <c r="T45" i="8" s="1"/>
  <c r="O45" i="8"/>
  <c r="P45" i="8" s="1"/>
  <c r="Q45" i="8" s="1"/>
</calcChain>
</file>

<file path=xl/sharedStrings.xml><?xml version="1.0" encoding="utf-8"?>
<sst xmlns="http://schemas.openxmlformats.org/spreadsheetml/2006/main" count="163" uniqueCount="94">
  <si>
    <t>Arima-HiC QC Worksheet</t>
  </si>
  <si>
    <r>
      <t xml:space="preserve">Material Part Number: </t>
    </r>
    <r>
      <rPr>
        <sz val="11"/>
        <color rgb="FF000000"/>
        <rFont val="Avenir Book"/>
        <family val="2"/>
      </rPr>
      <t>A510008</t>
    </r>
  </si>
  <si>
    <r>
      <t xml:space="preserve">Document Part Number: </t>
    </r>
    <r>
      <rPr>
        <sz val="11"/>
        <color rgb="FF000000"/>
        <rFont val="Avenir Book"/>
        <family val="2"/>
      </rPr>
      <t>A160180</t>
    </r>
  </si>
  <si>
    <r>
      <t xml:space="preserve">Release Date: </t>
    </r>
    <r>
      <rPr>
        <sz val="11"/>
        <color rgb="FF000000"/>
        <rFont val="Avenir Book"/>
        <family val="2"/>
      </rPr>
      <t>April 2025</t>
    </r>
  </si>
  <si>
    <t>Arima-QC1 Calculation Worksheet</t>
  </si>
  <si>
    <t>The instructions below provide a step-by-step guide to determining the Arima-QC1 value and PASS/FAIL status of a sample midway through the Arima-HiC workflow.</t>
  </si>
  <si>
    <t>Instructions:</t>
  </si>
  <si>
    <t>Important: All values in italics with blue highlight in the below worksheet are values that need to be filled in by the user. Example values are currently filled in to provide guidance.</t>
  </si>
  <si>
    <t xml:space="preserve">1. Fill in the 'Sample' column in the below table. </t>
  </si>
  <si>
    <t>2. Fill in the 'Qubit Concentration' column in the below table. Ensure that you record the sample concentration in ng/uL. Completing this will automatically calculate the Yield, Arima-QC1 value, and PASS/FAIL status.</t>
  </si>
  <si>
    <t>Proximally Ligated DNA Yield</t>
  </si>
  <si>
    <t xml:space="preserve">Arima-QC1 Quantification </t>
  </si>
  <si>
    <t>*If the proximally-ligated DNA yield is less than 275ng we recommend skipping the Arima-QC1 assay</t>
  </si>
  <si>
    <t>*Please contact techsupport@arimagenomics.com for failing QC1 scores</t>
  </si>
  <si>
    <t>Sample</t>
  </si>
  <si>
    <t>Quant Assay</t>
  </si>
  <si>
    <t>Qubit Concentration</t>
  </si>
  <si>
    <t>Units</t>
  </si>
  <si>
    <t>Yield (ng)</t>
  </si>
  <si>
    <t>75ng for QC1 (µL)</t>
  </si>
  <si>
    <t>Volume of Elution Buffer for 50µL</t>
  </si>
  <si>
    <t>Arima-QC1</t>
  </si>
  <si>
    <t>PASS/FAIL</t>
  </si>
  <si>
    <t>Sample 1</t>
  </si>
  <si>
    <t>dsDNA HS</t>
  </si>
  <si>
    <t>ng/µL</t>
  </si>
  <si>
    <t>Sample 2</t>
  </si>
  <si>
    <t>Sample 3</t>
  </si>
  <si>
    <t>Sample 4</t>
  </si>
  <si>
    <t>Sample 5</t>
  </si>
  <si>
    <t>Sample 6</t>
  </si>
  <si>
    <t>Sample 7</t>
  </si>
  <si>
    <t>Sample 8</t>
  </si>
  <si>
    <t>Shear &amp; Size Selection Yield</t>
  </si>
  <si>
    <t>*~50%-75% loss after size selection is expected</t>
  </si>
  <si>
    <t>Arima-QC2 Calculation Worksheet</t>
  </si>
  <si>
    <t>The instructions below provide a step-by-step guide to determining the Arima-QC2 value and PASS/FAIL status of an Arima-HiC library, as well as determining the optimal number of PCR cycles for Library Amplification.</t>
  </si>
  <si>
    <t>IGNORE THIS PAGE IF WORKING WITH ARIMA LIBRARY PREPARATION KIT</t>
  </si>
  <si>
    <t>Important: All values in italics with a gray background are values that need to be filled in by the user. Example values are currently filled in to provide guidance.</t>
  </si>
  <si>
    <t>1. Fill in the Cq values for the standards and control (water) sample in the "Standards and Control" section.</t>
  </si>
  <si>
    <t>2. Check that the ΔCq value (Column I) between DNA Standards is in the range of 3.1 – 3.6,  the control (water) has Cq&gt;30, and the standard curve R2 value is ≥0.99.</t>
  </si>
  <si>
    <r>
      <t xml:space="preserve">3. Fill in how many uL of bead-bound library </t>
    </r>
    <r>
      <rPr>
        <i/>
        <sz val="12"/>
        <color theme="1"/>
        <rFont val="Aptos"/>
      </rPr>
      <t xml:space="preserve">will be used </t>
    </r>
    <r>
      <rPr>
        <sz val="12"/>
        <color theme="1"/>
        <rFont val="Aptos"/>
      </rPr>
      <t xml:space="preserve">in your PCR reaction. Refer to the </t>
    </r>
    <r>
      <rPr>
        <i/>
        <sz val="12"/>
        <color theme="1"/>
        <rFont val="Aptos"/>
      </rPr>
      <t>Library Amplification</t>
    </r>
    <r>
      <rPr>
        <sz val="12"/>
        <color theme="1"/>
        <rFont val="Aptos"/>
      </rPr>
      <t xml:space="preserve"> protocol in your Arima-HiC Library Prep user guide to obtain this value.</t>
    </r>
  </si>
  <si>
    <t xml:space="preserve">4. Fill in the 'Sample' column in the "Arima-HiC Samples" section. </t>
  </si>
  <si>
    <t>5. Fill in the Cq values for the bead-bound Arima-HiC libraries in the "Arima-HiC Samples" section.</t>
  </si>
  <si>
    <t>6. Manually adjust the values in the 'PCR Cycles' column of the "Arima-HiC Samples" section in order to determine the minimum number of PCR cycles required to obtain at least a 10nM library in the 'nM post PCR' column. This is how many cycles should be used to amplify your bead-bound Arima-HiC library.</t>
  </si>
  <si>
    <r>
      <t xml:space="preserve">7. Fill in the 'DNA Input to Biotin Enrichment' column in the "Arima-HiC Samples" section. This is how much DNA was input to </t>
    </r>
    <r>
      <rPr>
        <i/>
        <sz val="12"/>
        <color theme="1"/>
        <rFont val="Aptos"/>
      </rPr>
      <t>Biotin Enrichment</t>
    </r>
    <r>
      <rPr>
        <sz val="12"/>
        <color theme="1"/>
        <rFont val="Aptos"/>
      </rPr>
      <t xml:space="preserve"> protocol during Arima-HiC Library Preparation. Completing this will automatically calculate the Arima-QC2 value and PASS/FAIL status.</t>
    </r>
  </si>
  <si>
    <t>Standards and Control</t>
  </si>
  <si>
    <t>Cq 1</t>
  </si>
  <si>
    <t>Cq 2</t>
  </si>
  <si>
    <t>Cq 3</t>
  </si>
  <si>
    <t>Avg Cq</t>
  </si>
  <si>
    <t>Stdev Cq</t>
  </si>
  <si>
    <t>Conc pM</t>
  </si>
  <si>
    <t>Log Conc</t>
  </si>
  <si>
    <t>ΔCq</t>
  </si>
  <si>
    <t>Standard 1</t>
  </si>
  <si>
    <t>n/a</t>
  </si>
  <si>
    <t>Standard 2</t>
  </si>
  <si>
    <t>Standard 3</t>
  </si>
  <si>
    <t>Standard 4</t>
  </si>
  <si>
    <t>Standard 5</t>
  </si>
  <si>
    <t>Standard 6</t>
  </si>
  <si>
    <t>Control (Water)</t>
  </si>
  <si>
    <t>-</t>
  </si>
  <si>
    <t>Slope</t>
  </si>
  <si>
    <t>Y-intercept</t>
  </si>
  <si>
    <t>Bead-bound library used in PCR reaction</t>
  </si>
  <si>
    <t>uL</t>
  </si>
  <si>
    <t>Post PCR Elution Volume</t>
  </si>
  <si>
    <t>PCR Efficiency</t>
  </si>
  <si>
    <t>*100%</t>
  </si>
  <si>
    <t>DNA Purification Bead Sample Loss</t>
  </si>
  <si>
    <t>Arima-HiC Samples</t>
  </si>
  <si>
    <t>Dilution</t>
  </si>
  <si>
    <t>log conc</t>
  </si>
  <si>
    <t>Avg bp</t>
  </si>
  <si>
    <t>Conc nM</t>
  </si>
  <si>
    <t>MW</t>
  </si>
  <si>
    <t>ng/uL</t>
  </si>
  <si>
    <t>ng in PCR</t>
  </si>
  <si>
    <t>PCR cycles</t>
  </si>
  <si>
    <t>ng Post PCR</t>
  </si>
  <si>
    <t>ng/uL post PCR</t>
  </si>
  <si>
    <t>nM post PCR</t>
  </si>
  <si>
    <t>Total DNA Input into Biotin Enrichment (ng)</t>
  </si>
  <si>
    <t>Arima-QC2</t>
  </si>
  <si>
    <t>Sample A</t>
  </si>
  <si>
    <t>Sample B</t>
  </si>
  <si>
    <t>Sample C</t>
  </si>
  <si>
    <t>Sample D</t>
  </si>
  <si>
    <t>Sample E</t>
  </si>
  <si>
    <t>Sample F</t>
  </si>
  <si>
    <t>Sample G</t>
  </si>
  <si>
    <t>Sample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</si>
</sst>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3">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scheme val="minor"/>
    </font>
    <font>
      <b/>
      <sz val="14"/>
      <color theme="1"/>
      <name val="Calibri"/>
      <family val="2"/>
      <scheme val="minor"/>
    </font>
    <font>
      <sz val="8"/>
      <name val="Calibri"/>
      <family val="2"/>
      <scheme val="minor"/>
    </font>
    <font>
      <b/>
      <sz val="11"/>
      <color rgb="FF000000"/>
      <name val="Avenir Book"/>
      <family val="2"/>
    </font>
    <font>
      <sz val="11"/>
      <color rgb="FF000000"/>
      <name val="Avenir Book"/>
      <family val="2"/>
    </font>
    <font>
      <b/>
      <sz val="14"/>
      <color theme="1"/>
      <name val="Aptos"/>
    </font>
    <font>
      <sz val="12"/>
      <color theme="1"/>
      <name val="Aptos"/>
    </font>
    <font>
      <b/>
      <u/>
      <sz val="12"/>
      <color theme="1"/>
      <name val="Aptos"/>
    </font>
    <font>
      <b/>
      <sz val="12"/>
      <color theme="1"/>
      <name val="Aptos"/>
    </font>
    <font>
      <sz val="12"/>
      <color theme="0"/>
      <name val="Aptos"/>
    </font>
    <font>
      <i/>
      <sz val="12"/>
      <color theme="1"/>
      <name val="Aptos"/>
    </font>
    <font>
      <sz val="12"/>
      <color rgb="FF000000"/>
      <name val="Aptos"/>
    </font>
    <font>
      <b/>
      <sz val="12"/>
      <color rgb="FFFF0000"/>
      <name val="Aptos"/>
    </font>
    <font>
      <b/>
      <u/>
      <sz val="16"/>
      <color theme="1"/>
      <name val="Aptos"/>
    </font>
    <font>
      <b/>
      <sz val="12"/>
      <color theme="0"/>
      <name val="Aptos"/>
    </font>
    <font>
      <sz val="12"/>
      <color rgb="FFFF0000"/>
      <name val="Aptos"/>
    </font>
    <font>
      <sz val="12"/>
      <name val="Aptos"/>
    </font>
    <font>
      <i/>
      <sz val="12"/>
      <name val="Aptos"/>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1A6CB7"/>
        <bgColor indexed="64"/>
      </patternFill>
    </fill>
    <fill>
      <patternFill patternType="solid">
        <fgColor theme="4"/>
      </patternFill>
    </fill>
    <fill>
      <patternFill patternType="solid">
        <fgColor theme="8" tint="0.59999389629810485"/>
        <bgColor indexed="64"/>
      </patternFill>
    </fill>
    <fill>
      <patternFill patternType="solid">
        <fgColor theme="4"/>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theme="0"/>
      </bottom>
      <diagonal/>
    </border>
    <border>
      <left style="thin">
        <color auto="1"/>
      </left>
      <right/>
      <top/>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5" fillId="5" borderId="0" applyNumberFormat="0" applyBorder="0" applyAlignment="0" applyProtection="0"/>
  </cellStyleXfs>
  <cellXfs count="45">
    <xf numFmtId="0" fontId="0" fillId="0" borderId="0" xfId="0"/>
    <xf numFmtId="0" fontId="6" fillId="2" borderId="0" xfId="0" applyFont="1" applyFill="1"/>
    <xf numFmtId="0" fontId="0" fillId="2" borderId="0" xfId="0" applyFill="1"/>
    <xf numFmtId="0" fontId="0" fillId="3" borderId="0" xfId="0" applyFill="1"/>
    <xf numFmtId="0" fontId="8" fillId="3" borderId="0" xfId="0" applyFont="1" applyFill="1"/>
    <xf numFmtId="0" fontId="10" fillId="2" borderId="0" xfId="0" applyFont="1" applyFill="1"/>
    <xf numFmtId="0" fontId="11" fillId="2" borderId="0" xfId="0" applyFont="1" applyFill="1"/>
    <xf numFmtId="0" fontId="11" fillId="0" borderId="0" xfId="0" applyFont="1"/>
    <xf numFmtId="0" fontId="11" fillId="0" borderId="4" xfId="0" applyFont="1" applyBorder="1"/>
    <xf numFmtId="0" fontId="10" fillId="0" borderId="0" xfId="0" applyFont="1"/>
    <xf numFmtId="0" fontId="12" fillId="0" borderId="0" xfId="0" applyFont="1"/>
    <xf numFmtId="0" fontId="13" fillId="0" borderId="0" xfId="0" applyFont="1"/>
    <xf numFmtId="0" fontId="14" fillId="5" borderId="2" xfId="9" applyFont="1" applyBorder="1"/>
    <xf numFmtId="0" fontId="14" fillId="5" borderId="3" xfId="9" applyFont="1" applyBorder="1"/>
    <xf numFmtId="0" fontId="14" fillId="5" borderId="1" xfId="9" applyFont="1" applyBorder="1" applyAlignment="1">
      <alignment horizontal="center" wrapText="1"/>
    </xf>
    <xf numFmtId="0" fontId="15" fillId="6" borderId="1" xfId="0" applyFont="1" applyFill="1" applyBorder="1"/>
    <xf numFmtId="0" fontId="16" fillId="0" borderId="1" xfId="0" applyFont="1" applyBorder="1"/>
    <xf numFmtId="165" fontId="16" fillId="0" borderId="1" xfId="0" applyNumberFormat="1" applyFont="1" applyBorder="1"/>
    <xf numFmtId="0" fontId="16" fillId="0" borderId="1" xfId="0" applyFont="1" applyBorder="1" applyAlignment="1">
      <alignment horizontal="center"/>
    </xf>
    <xf numFmtId="164" fontId="16" fillId="0" borderId="1" xfId="0" applyNumberFormat="1" applyFont="1" applyBorder="1"/>
    <xf numFmtId="10" fontId="16" fillId="0" borderId="0" xfId="0" applyNumberFormat="1" applyFont="1"/>
    <xf numFmtId="0" fontId="17" fillId="0" borderId="0" xfId="0" applyFont="1"/>
    <xf numFmtId="0" fontId="18" fillId="0" borderId="0" xfId="0" applyFont="1"/>
    <xf numFmtId="0" fontId="19" fillId="4" borderId="1" xfId="0" applyFont="1" applyFill="1" applyBorder="1" applyAlignment="1">
      <alignment horizontal="center"/>
    </xf>
    <xf numFmtId="0" fontId="20" fillId="0" borderId="0" xfId="0" applyFont="1"/>
    <xf numFmtId="0" fontId="11" fillId="0" borderId="1" xfId="0" applyFont="1" applyBorder="1"/>
    <xf numFmtId="0" fontId="15" fillId="2" borderId="1" xfId="0" applyFont="1" applyFill="1" applyBorder="1" applyAlignment="1">
      <alignment horizontal="center"/>
    </xf>
    <xf numFmtId="43" fontId="11" fillId="0" borderId="1" xfId="8" applyFont="1" applyBorder="1" applyAlignment="1">
      <alignment horizontal="center"/>
    </xf>
    <xf numFmtId="2" fontId="15" fillId="2" borderId="1" xfId="0" applyNumberFormat="1" applyFont="1" applyFill="1" applyBorder="1" applyAlignment="1">
      <alignment horizontal="center"/>
    </xf>
    <xf numFmtId="0" fontId="19" fillId="4" borderId="1" xfId="0" applyFont="1" applyFill="1" applyBorder="1"/>
    <xf numFmtId="2" fontId="11" fillId="0" borderId="1" xfId="0" applyNumberFormat="1" applyFont="1" applyBorder="1"/>
    <xf numFmtId="0" fontId="15" fillId="2" borderId="0" xfId="0" applyFont="1" applyFill="1"/>
    <xf numFmtId="0" fontId="19" fillId="4" borderId="1" xfId="0" applyFont="1" applyFill="1" applyBorder="1" applyAlignment="1">
      <alignment horizontal="center" wrapText="1"/>
    </xf>
    <xf numFmtId="0" fontId="11" fillId="0" borderId="0" xfId="0" applyFont="1" applyAlignment="1">
      <alignment horizontal="center"/>
    </xf>
    <xf numFmtId="0" fontId="15" fillId="2" borderId="1" xfId="0" applyFont="1" applyFill="1" applyBorder="1"/>
    <xf numFmtId="0" fontId="21" fillId="0" borderId="1" xfId="0" applyFont="1" applyBorder="1" applyAlignment="1">
      <alignment horizontal="center"/>
    </xf>
    <xf numFmtId="43" fontId="21" fillId="0" borderId="1" xfId="8" applyFont="1" applyBorder="1" applyAlignment="1">
      <alignment horizontal="center"/>
    </xf>
    <xf numFmtId="2" fontId="21" fillId="0" borderId="1" xfId="8" applyNumberFormat="1" applyFont="1" applyBorder="1" applyAlignment="1">
      <alignment horizontal="center"/>
    </xf>
    <xf numFmtId="0" fontId="22" fillId="2" borderId="1" xfId="0" applyFont="1" applyFill="1" applyBorder="1" applyAlignment="1">
      <alignment horizontal="center"/>
    </xf>
    <xf numFmtId="43" fontId="15" fillId="2" borderId="1" xfId="8" applyFont="1" applyFill="1" applyBorder="1" applyAlignment="1">
      <alignment horizontal="center"/>
    </xf>
    <xf numFmtId="10" fontId="11" fillId="0" borderId="1" xfId="3" applyNumberFormat="1" applyFont="1" applyBorder="1" applyAlignment="1">
      <alignment horizontal="center"/>
    </xf>
    <xf numFmtId="0" fontId="14" fillId="5" borderId="2" xfId="9" applyFont="1" applyBorder="1" applyAlignment="1"/>
    <xf numFmtId="0" fontId="14" fillId="7" borderId="5" xfId="0" applyFont="1" applyFill="1" applyBorder="1" applyAlignment="1">
      <alignment horizontal="left"/>
    </xf>
    <xf numFmtId="0" fontId="14" fillId="7" borderId="0" xfId="0" applyFont="1" applyFill="1" applyAlignment="1">
      <alignment horizontal="left"/>
    </xf>
    <xf numFmtId="0" fontId="10" fillId="2" borderId="0" xfId="0" applyFont="1" applyFill="1" applyAlignment="1"/>
  </cellXfs>
  <cellStyles count="10">
    <cellStyle name="Accent1" xfId="9" builtinId="29"/>
    <cellStyle name="Comma" xfId="8" builtinId="3"/>
    <cellStyle name="Followed Hyperlink" xfId="2" builtinId="9" hidden="1"/>
    <cellStyle name="Followed Hyperlink" xfId="5" builtinId="9" hidden="1"/>
    <cellStyle name="Followed Hyperlink" xfId="7" builtinId="9" hidden="1"/>
    <cellStyle name="Hyperlink" xfId="1" builtinId="8" hidden="1"/>
    <cellStyle name="Hyperlink" xfId="4" builtinId="8" hidden="1"/>
    <cellStyle name="Hyperlink" xfId="6" builtinId="8" hidden="1"/>
    <cellStyle name="Normal" xfId="0" builtinId="0"/>
    <cellStyle name="Percent" xfId="3" builtinId="5"/>
  </cellStyles>
  <dxfs count="0"/>
  <tableStyles count="0" defaultTableStyle="TableStyleMedium9" defaultPivotStyle="PivotStyleMedium7"/>
  <colors>
    <mruColors>
      <color rgb="FF1A6CB7"/>
      <color rgb="FF0077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manualLayout>
          <c:layoutTarget val="inner"/>
          <c:xMode val="edge"/>
          <c:yMode val="edge"/>
          <c:x val="4.6270778652668397E-2"/>
          <c:y val="0.224427083333333"/>
          <c:w val="0.91128477690288701"/>
          <c:h val="0.64105068897637796"/>
        </c:manualLayout>
      </c:layout>
      <c:scatterChart>
        <c:scatterStyle val="lineMarker"/>
        <c:varyColors val="0"/>
        <c:ser>
          <c:idx val="0"/>
          <c:order val="0"/>
          <c:tx>
            <c:v>Standard Curve</c:v>
          </c:tx>
          <c:spPr>
            <a:ln w="25400" cap="flat" cmpd="sng" algn="ctr">
              <a:noFill/>
              <a:prstDash val="sysDot"/>
              <a:round/>
            </a:ln>
            <a:effectLst/>
          </c:spPr>
          <c:marker>
            <c:symbol val="circle"/>
            <c:size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trendline>
            <c:spPr>
              <a:ln w="9525" cap="rnd">
                <a:solidFill>
                  <a:schemeClr val="accent1"/>
                </a:solidFill>
              </a:ln>
              <a:effectLst/>
            </c:spPr>
            <c:trendlineType val="linear"/>
            <c:dispRSqr val="1"/>
            <c:dispEq val="1"/>
            <c:trendlineLbl>
              <c:layout>
                <c:manualLayout>
                  <c:x val="-0.44870100612423403"/>
                  <c:y val="-7.1975430154563994E-2"/>
                </c:manualLayout>
              </c:layout>
              <c:numFmt formatCode="General" sourceLinked="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rendlineLbl>
          </c:trendline>
          <c:xVal>
            <c:numRef>
              <c:f>'Arima-QC2'!$H$21:$H$26</c:f>
              <c:numCache>
                <c:formatCode>_(* #,##0.00_);_(* \(#,##0.00\);_(* "-"??_);_(@_)</c:formatCode>
                <c:ptCount val="6"/>
                <c:pt idx="0">
                  <c:v>1.3010299956639813</c:v>
                </c:pt>
                <c:pt idx="1">
                  <c:v>0.3010299956639812</c:v>
                </c:pt>
                <c:pt idx="2">
                  <c:v>-0.69897000433601875</c:v>
                </c:pt>
                <c:pt idx="3">
                  <c:v>-1.6989700043360187</c:v>
                </c:pt>
                <c:pt idx="4">
                  <c:v>-2.6989700043360187</c:v>
                </c:pt>
                <c:pt idx="5">
                  <c:v>-3.6989700043360187</c:v>
                </c:pt>
              </c:numCache>
            </c:numRef>
          </c:xVal>
          <c:yVal>
            <c:numRef>
              <c:f>'Arima-QC2'!$E$21:$E$26</c:f>
              <c:numCache>
                <c:formatCode>_(* #,##0.00_);_(* \(#,##0.00\);_(* "-"??_);_(@_)</c:formatCode>
                <c:ptCount val="6"/>
                <c:pt idx="0">
                  <c:v>9.5466666666666669</c:v>
                </c:pt>
                <c:pt idx="1">
                  <c:v>12.64</c:v>
                </c:pt>
                <c:pt idx="2">
                  <c:v>15.96</c:v>
                </c:pt>
                <c:pt idx="3">
                  <c:v>19.41333333333333</c:v>
                </c:pt>
                <c:pt idx="4">
                  <c:v>22.939999999999998</c:v>
                </c:pt>
                <c:pt idx="5">
                  <c:v>26.106666666666666</c:v>
                </c:pt>
              </c:numCache>
            </c:numRef>
          </c:yVal>
          <c:smooth val="0"/>
          <c:extLst>
            <c:ext xmlns:c16="http://schemas.microsoft.com/office/drawing/2014/chart" uri="{C3380CC4-5D6E-409C-BE32-E72D297353CC}">
              <c16:uniqueId val="{00000001-4966-314E-8A3B-3FD64E6A51DF}"/>
            </c:ext>
          </c:extLst>
        </c:ser>
        <c:dLbls>
          <c:showLegendKey val="0"/>
          <c:showVal val="0"/>
          <c:showCatName val="0"/>
          <c:showSerName val="0"/>
          <c:showPercent val="0"/>
          <c:showBubbleSize val="0"/>
        </c:dLbls>
        <c:axId val="1800499136"/>
        <c:axId val="1797123760"/>
      </c:scatterChart>
      <c:valAx>
        <c:axId val="180049913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0"/>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1" i="0" u="none" strike="noStrike" kern="1200" spc="0" baseline="0">
                <a:solidFill>
                  <a:schemeClr val="dk1">
                    <a:lumMod val="65000"/>
                    <a:lumOff val="35000"/>
                  </a:schemeClr>
                </a:solidFill>
                <a:latin typeface="+mn-lt"/>
                <a:ea typeface="+mn-ea"/>
                <a:cs typeface="+mn-cs"/>
              </a:defRPr>
            </a:pPr>
            <a:endParaRPr lang="en-US"/>
          </a:p>
        </c:txPr>
        <c:crossAx val="1797123760"/>
        <c:crosses val="autoZero"/>
        <c:crossBetween val="midCat"/>
      </c:valAx>
      <c:valAx>
        <c:axId val="17971237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0"/>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1" i="0" u="none" strike="noStrike" kern="1200" spc="0" baseline="0">
                <a:solidFill>
                  <a:schemeClr val="dk1">
                    <a:lumMod val="65000"/>
                    <a:lumOff val="35000"/>
                  </a:schemeClr>
                </a:solidFill>
                <a:latin typeface="+mn-lt"/>
                <a:ea typeface="+mn-ea"/>
                <a:cs typeface="+mn-cs"/>
              </a:defRPr>
            </a:pPr>
            <a:endParaRPr lang="en-US"/>
          </a:p>
        </c:txPr>
        <c:crossAx val="1800499136"/>
        <c:crosses val="autoZero"/>
        <c:crossBetween val="midCat"/>
      </c:valAx>
      <c:spPr>
        <a:gradFill>
          <a:gsLst>
            <a:gs pos="100000">
              <a:schemeClr val="lt1">
                <a:lumMod val="95000"/>
              </a:schemeClr>
            </a:gs>
            <a:gs pos="0">
              <a:schemeClr val="lt1">
                <a:alpha val="0"/>
              </a:schemeClr>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6">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effectRef idx="1"/>
    <cs:fontRef idx="minor">
      <a:schemeClr val="dk1"/>
    </cs:fontRef>
    <cs:spPr>
      <a:ln w="9525" cap="flat" cmpd="sng" algn="ctr">
        <a:solidFill>
          <a:schemeClr val="phClr">
            <a:alpha val="70000"/>
          </a:schemeClr>
        </a:solidFill>
        <a:prstDash val="sysDot"/>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rnd">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rnd">
        <a:solidFill>
          <a:schemeClr val="dk1">
            <a:lumMod val="65000"/>
            <a:lumOff val="35000"/>
          </a:schemeClr>
        </a:solidFill>
        <a:round/>
      </a:ln>
    </cs:spPr>
  </cs:downBar>
  <cs:dropLine>
    <cs:lnRef idx="0"/>
    <cs:fillRef idx="0"/>
    <cs:effectRef idx="0"/>
    <cs:fontRef idx="minor">
      <a:schemeClr val="dk1"/>
    </cs:fontRef>
    <cs:spPr>
      <a:ln w="9525" cap="rnd">
        <a:solidFill>
          <a:schemeClr val="dk1">
            <a:lumMod val="35000"/>
            <a:lumOff val="65000"/>
          </a:schemeClr>
        </a:solidFill>
        <a:round/>
      </a:ln>
    </cs:spPr>
  </cs:dropLine>
  <cs:errorBar>
    <cs:lnRef idx="0"/>
    <cs:fillRef idx="0"/>
    <cs:effectRef idx="0"/>
    <cs:fontRef idx="minor">
      <a:schemeClr val="dk1"/>
    </cs:fontRef>
    <cs:spPr>
      <a:ln w="9525" cap="rnd">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rnd">
        <a:solidFill>
          <a:schemeClr val="dk1">
            <a:lumMod val="35000"/>
            <a:lumOff val="65000"/>
          </a:schemeClr>
        </a:solidFill>
        <a:round/>
      </a:ln>
    </cs:spPr>
  </cs:hiLoLine>
  <cs:leaderLine>
    <cs:lnRef idx="0"/>
    <cs:fillRef idx="0"/>
    <cs:effectRef idx="0"/>
    <cs:fontRef idx="minor">
      <a:schemeClr val="dk1"/>
    </cs:fontRef>
    <cs:spPr>
      <a:ln w="9525" cap="rnd">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spc="0" baseline="0"/>
  </cs:legend>
  <cs:plotArea>
    <cs:lnRef idx="0"/>
    <cs:fillRef idx="0"/>
    <cs:effectRef idx="0"/>
    <cs:fontRef idx="minor">
      <a:schemeClr val="dk1"/>
    </cs:fontRef>
    <cs:spPr>
      <a:gradFill>
        <a:gsLst>
          <a:gs pos="100000">
            <a:schemeClr val="lt1">
              <a:lumMod val="95000"/>
            </a:schemeClr>
          </a:gs>
          <a:gs pos="0">
            <a:schemeClr val="lt1">
              <a:alpha val="0"/>
            </a:schemeClr>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seriesAxis>
  <cs:seriesLine>
    <cs:lnRef idx="0"/>
    <cs:fillRef idx="0"/>
    <cs:effectRef idx="0"/>
    <cs:fontRef idx="minor">
      <a:schemeClr val="dk1"/>
    </cs:fontRef>
    <cs:spPr>
      <a:ln w="9525" cap="rnd">
        <a:solidFill>
          <a:schemeClr val="dk1">
            <a:lumMod val="35000"/>
            <a:lumOff val="65000"/>
          </a:schemeClr>
        </a:solidFill>
        <a:round/>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cs:spPr>
  </cs:upBar>
  <cs:valueAxis>
    <cs:lnRef idx="0"/>
    <cs:fillRef idx="0"/>
    <cs:effectRef idx="0"/>
    <cs:fontRef idx="minor">
      <a:schemeClr val="dk1">
        <a:lumMod val="65000"/>
        <a:lumOff val="35000"/>
      </a:schemeClr>
    </cs:fontRef>
    <cs:spPr>
      <a:ln w="9525" cap="rnd">
        <a:solidFill>
          <a:schemeClr val="dk1">
            <a:lumMod val="25000"/>
            <a:lumOff val="75000"/>
          </a:schemeClr>
        </a:solidFill>
        <a:round/>
      </a:ln>
    </cs:spPr>
    <cs:defRPr sz="900" kern="1200" spc="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151301</xdr:rowOff>
    </xdr:from>
    <xdr:to>
      <xdr:col>2</xdr:col>
      <xdr:colOff>83820</xdr:colOff>
      <xdr:row>3</xdr:row>
      <xdr:rowOff>15323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151301"/>
          <a:ext cx="1950720" cy="4736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151301</xdr:rowOff>
    </xdr:from>
    <xdr:to>
      <xdr:col>1</xdr:col>
      <xdr:colOff>871220</xdr:colOff>
      <xdr:row>3</xdr:row>
      <xdr:rowOff>15323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51301"/>
          <a:ext cx="1950720" cy="4736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362856</xdr:colOff>
      <xdr:row>19</xdr:row>
      <xdr:rowOff>3630</xdr:rowOff>
    </xdr:from>
    <xdr:to>
      <xdr:col>16</xdr:col>
      <xdr:colOff>571499</xdr:colOff>
      <xdr:row>32</xdr:row>
      <xdr:rowOff>50800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62401</xdr:rowOff>
    </xdr:from>
    <xdr:to>
      <xdr:col>2</xdr:col>
      <xdr:colOff>266700</xdr:colOff>
      <xdr:row>3</xdr:row>
      <xdr:rowOff>7827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 y="62401"/>
          <a:ext cx="2286000" cy="5550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C8"/>
  <sheetViews>
    <sheetView tabSelected="1" zoomScale="115" workbookViewId="0">
      <selection activeCell="C9" sqref="C9"/>
    </sheetView>
  </sheetViews>
  <sheetFormatPr defaultColWidth="10.875" defaultRowHeight="15.95"/>
  <cols>
    <col min="1" max="1" width="10.875" style="3"/>
    <col min="2" max="2" width="14.5" style="3" customWidth="1"/>
    <col min="3" max="3" width="12.875" style="3" customWidth="1"/>
    <col min="4" max="16384" width="10.875" style="3"/>
  </cols>
  <sheetData>
    <row r="5" spans="1:3" ht="18.95">
      <c r="A5" s="1" t="s">
        <v>0</v>
      </c>
      <c r="B5" s="2"/>
      <c r="C5"/>
    </row>
    <row r="6" spans="1:3" ht="17.100000000000001">
      <c r="A6" s="4" t="s">
        <v>1</v>
      </c>
    </row>
    <row r="7" spans="1:3" ht="17.100000000000001">
      <c r="A7" s="4" t="s">
        <v>2</v>
      </c>
    </row>
    <row r="8" spans="1:3" ht="17.100000000000001">
      <c r="A8" s="4" t="s">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O36"/>
  <sheetViews>
    <sheetView showGridLines="0" zoomScale="107" workbookViewId="0">
      <selection activeCell="F27" sqref="F27"/>
    </sheetView>
  </sheetViews>
  <sheetFormatPr defaultColWidth="10.875" defaultRowHeight="15.95"/>
  <cols>
    <col min="1" max="1" width="14.625" style="7" customWidth="1"/>
    <col min="2" max="2" width="12.375" style="7" customWidth="1"/>
    <col min="3" max="3" width="13.625" style="7" customWidth="1"/>
    <col min="4" max="4" width="7.375" style="7" customWidth="1"/>
    <col min="5" max="5" width="9.5" style="7" customWidth="1"/>
    <col min="6" max="7" width="14.625" style="7" customWidth="1"/>
    <col min="8" max="8" width="14" style="7" customWidth="1"/>
    <col min="9" max="9" width="13.375" style="7" customWidth="1"/>
    <col min="10" max="10" width="13.875" style="7" customWidth="1"/>
    <col min="11" max="11" width="15.125" style="7" customWidth="1"/>
    <col min="12" max="12" width="14.5" style="7" customWidth="1"/>
    <col min="13" max="13" width="13.375" style="7" customWidth="1"/>
    <col min="14" max="16384" width="10.875" style="7"/>
  </cols>
  <sheetData>
    <row r="5" spans="1:15" ht="18.95">
      <c r="A5" s="5" t="s">
        <v>4</v>
      </c>
      <c r="B5" s="6"/>
      <c r="C5" s="6"/>
      <c r="E5" s="8"/>
    </row>
    <row r="6" spans="1:15">
      <c r="A6" s="7" t="s">
        <v>5</v>
      </c>
    </row>
    <row r="7" spans="1:15" ht="18.95">
      <c r="A7" s="9"/>
    </row>
    <row r="8" spans="1:15">
      <c r="A8" s="10" t="s">
        <v>6</v>
      </c>
    </row>
    <row r="9" spans="1:15" s="11" customFormat="1">
      <c r="A9" s="11" t="s">
        <v>7</v>
      </c>
    </row>
    <row r="10" spans="1:15">
      <c r="A10" s="7" t="s">
        <v>8</v>
      </c>
    </row>
    <row r="11" spans="1:15">
      <c r="A11" s="7" t="s">
        <v>9</v>
      </c>
    </row>
    <row r="13" spans="1:15">
      <c r="A13" s="41" t="s">
        <v>10</v>
      </c>
      <c r="B13" s="13"/>
      <c r="I13" s="42" t="s">
        <v>11</v>
      </c>
      <c r="J13" s="43"/>
    </row>
    <row r="14" spans="1:15">
      <c r="A14" s="7" t="s">
        <v>12</v>
      </c>
      <c r="I14" s="7" t="s">
        <v>13</v>
      </c>
    </row>
    <row r="15" spans="1:15" ht="33.950000000000003" customHeight="1">
      <c r="A15" s="14" t="s">
        <v>14</v>
      </c>
      <c r="B15" s="14" t="s">
        <v>15</v>
      </c>
      <c r="C15" s="14" t="s">
        <v>16</v>
      </c>
      <c r="D15" s="14" t="s">
        <v>17</v>
      </c>
      <c r="E15" s="14" t="s">
        <v>18</v>
      </c>
      <c r="F15" s="14" t="s">
        <v>19</v>
      </c>
      <c r="G15" s="14" t="s">
        <v>20</v>
      </c>
      <c r="I15" s="14" t="s">
        <v>14</v>
      </c>
      <c r="J15" s="14" t="s">
        <v>15</v>
      </c>
      <c r="K15" s="14" t="s">
        <v>16</v>
      </c>
      <c r="L15" s="14" t="s">
        <v>17</v>
      </c>
      <c r="M15" s="14" t="s">
        <v>18</v>
      </c>
      <c r="N15" s="14" t="s">
        <v>21</v>
      </c>
      <c r="O15" s="14" t="s">
        <v>22</v>
      </c>
    </row>
    <row r="16" spans="1:15">
      <c r="A16" s="15" t="s">
        <v>23</v>
      </c>
      <c r="B16" s="16" t="s">
        <v>24</v>
      </c>
      <c r="C16" s="15">
        <v>10</v>
      </c>
      <c r="D16" s="16" t="s">
        <v>25</v>
      </c>
      <c r="E16" s="16">
        <f t="shared" ref="E16:E23" si="0">C16*100</f>
        <v>1000</v>
      </c>
      <c r="F16" s="17">
        <f t="shared" ref="F16:F23" si="1">75/C16</f>
        <v>7.5</v>
      </c>
      <c r="G16" s="17">
        <f>50-F16</f>
        <v>42.5</v>
      </c>
      <c r="I16" s="15" t="str">
        <f>A16</f>
        <v>Sample 1</v>
      </c>
      <c r="J16" s="18" t="s">
        <v>24</v>
      </c>
      <c r="K16" s="15">
        <v>2</v>
      </c>
      <c r="L16" s="16" t="s">
        <v>25</v>
      </c>
      <c r="M16" s="16">
        <f t="shared" ref="M16:M23" si="2">K16*7</f>
        <v>14</v>
      </c>
      <c r="N16" s="19">
        <f>M16/75</f>
        <v>0.18666666666666668</v>
      </c>
      <c r="O16" s="16" t="str">
        <f>IF(N16&gt;0.15,"PASS","FAIL")</f>
        <v>PASS</v>
      </c>
    </row>
    <row r="17" spans="1:15">
      <c r="A17" s="15" t="s">
        <v>26</v>
      </c>
      <c r="B17" s="16" t="s">
        <v>24</v>
      </c>
      <c r="C17" s="15">
        <v>11</v>
      </c>
      <c r="D17" s="16" t="s">
        <v>25</v>
      </c>
      <c r="E17" s="16">
        <f t="shared" si="0"/>
        <v>1100</v>
      </c>
      <c r="F17" s="17">
        <f t="shared" si="1"/>
        <v>6.8181818181818183</v>
      </c>
      <c r="G17" s="17">
        <f t="shared" ref="G17:G23" si="3">50-F17</f>
        <v>43.18181818181818</v>
      </c>
      <c r="I17" s="15" t="str">
        <f t="shared" ref="I17:I23" si="4">A17</f>
        <v>Sample 2</v>
      </c>
      <c r="J17" s="18" t="s">
        <v>24</v>
      </c>
      <c r="K17" s="15">
        <v>3</v>
      </c>
      <c r="L17" s="16" t="s">
        <v>25</v>
      </c>
      <c r="M17" s="16">
        <f t="shared" si="2"/>
        <v>21</v>
      </c>
      <c r="N17" s="19">
        <f t="shared" ref="N17:N23" si="5">M17/75</f>
        <v>0.28000000000000003</v>
      </c>
      <c r="O17" s="16" t="str">
        <f t="shared" ref="O17:O23" si="6">IF(N17&gt;0.15,"PASS","FAIL")</f>
        <v>PASS</v>
      </c>
    </row>
    <row r="18" spans="1:15">
      <c r="A18" s="15" t="s">
        <v>27</v>
      </c>
      <c r="B18" s="16" t="s">
        <v>24</v>
      </c>
      <c r="C18" s="15">
        <v>12</v>
      </c>
      <c r="D18" s="16" t="s">
        <v>25</v>
      </c>
      <c r="E18" s="16">
        <f t="shared" si="0"/>
        <v>1200</v>
      </c>
      <c r="F18" s="17">
        <f t="shared" si="1"/>
        <v>6.25</v>
      </c>
      <c r="G18" s="17">
        <f t="shared" si="3"/>
        <v>43.75</v>
      </c>
      <c r="I18" s="15" t="str">
        <f t="shared" si="4"/>
        <v>Sample 3</v>
      </c>
      <c r="J18" s="18" t="s">
        <v>24</v>
      </c>
      <c r="K18" s="15">
        <v>4</v>
      </c>
      <c r="L18" s="16" t="s">
        <v>25</v>
      </c>
      <c r="M18" s="16">
        <f t="shared" si="2"/>
        <v>28</v>
      </c>
      <c r="N18" s="19">
        <f t="shared" si="5"/>
        <v>0.37333333333333335</v>
      </c>
      <c r="O18" s="16" t="str">
        <f t="shared" si="6"/>
        <v>PASS</v>
      </c>
    </row>
    <row r="19" spans="1:15">
      <c r="A19" s="15" t="s">
        <v>28</v>
      </c>
      <c r="B19" s="16" t="s">
        <v>24</v>
      </c>
      <c r="C19" s="15">
        <v>13</v>
      </c>
      <c r="D19" s="16" t="s">
        <v>25</v>
      </c>
      <c r="E19" s="16">
        <f t="shared" si="0"/>
        <v>1300</v>
      </c>
      <c r="F19" s="17">
        <f t="shared" si="1"/>
        <v>5.7692307692307692</v>
      </c>
      <c r="G19" s="17">
        <f t="shared" si="3"/>
        <v>44.230769230769234</v>
      </c>
      <c r="I19" s="15" t="str">
        <f t="shared" si="4"/>
        <v>Sample 4</v>
      </c>
      <c r="J19" s="18" t="s">
        <v>24</v>
      </c>
      <c r="K19" s="15">
        <v>4.5</v>
      </c>
      <c r="L19" s="16" t="s">
        <v>25</v>
      </c>
      <c r="M19" s="16">
        <f t="shared" si="2"/>
        <v>31.5</v>
      </c>
      <c r="N19" s="19">
        <f t="shared" si="5"/>
        <v>0.42</v>
      </c>
      <c r="O19" s="16" t="str">
        <f t="shared" si="6"/>
        <v>PASS</v>
      </c>
    </row>
    <row r="20" spans="1:15">
      <c r="A20" s="15" t="s">
        <v>29</v>
      </c>
      <c r="B20" s="16" t="s">
        <v>24</v>
      </c>
      <c r="C20" s="15">
        <v>14</v>
      </c>
      <c r="D20" s="16" t="s">
        <v>25</v>
      </c>
      <c r="E20" s="16">
        <f t="shared" si="0"/>
        <v>1400</v>
      </c>
      <c r="F20" s="17">
        <f t="shared" si="1"/>
        <v>5.3571428571428568</v>
      </c>
      <c r="G20" s="17">
        <f t="shared" si="3"/>
        <v>44.642857142857146</v>
      </c>
      <c r="I20" s="15" t="str">
        <f t="shared" si="4"/>
        <v>Sample 5</v>
      </c>
      <c r="J20" s="18" t="s">
        <v>24</v>
      </c>
      <c r="K20" s="15">
        <v>5</v>
      </c>
      <c r="L20" s="16" t="s">
        <v>25</v>
      </c>
      <c r="M20" s="16">
        <f t="shared" si="2"/>
        <v>35</v>
      </c>
      <c r="N20" s="19">
        <f t="shared" si="5"/>
        <v>0.46666666666666667</v>
      </c>
      <c r="O20" s="16" t="str">
        <f t="shared" si="6"/>
        <v>PASS</v>
      </c>
    </row>
    <row r="21" spans="1:15">
      <c r="A21" s="15" t="s">
        <v>30</v>
      </c>
      <c r="B21" s="16" t="s">
        <v>24</v>
      </c>
      <c r="C21" s="15">
        <v>15</v>
      </c>
      <c r="D21" s="16" t="s">
        <v>25</v>
      </c>
      <c r="E21" s="16">
        <f t="shared" si="0"/>
        <v>1500</v>
      </c>
      <c r="F21" s="17">
        <f t="shared" si="1"/>
        <v>5</v>
      </c>
      <c r="G21" s="17">
        <f t="shared" si="3"/>
        <v>45</v>
      </c>
      <c r="I21" s="15" t="str">
        <f t="shared" si="4"/>
        <v>Sample 6</v>
      </c>
      <c r="J21" s="18" t="s">
        <v>24</v>
      </c>
      <c r="K21" s="15">
        <v>6</v>
      </c>
      <c r="L21" s="16" t="s">
        <v>25</v>
      </c>
      <c r="M21" s="16">
        <f t="shared" si="2"/>
        <v>42</v>
      </c>
      <c r="N21" s="19">
        <f t="shared" si="5"/>
        <v>0.56000000000000005</v>
      </c>
      <c r="O21" s="16" t="str">
        <f t="shared" si="6"/>
        <v>PASS</v>
      </c>
    </row>
    <row r="22" spans="1:15">
      <c r="A22" s="15" t="s">
        <v>31</v>
      </c>
      <c r="B22" s="16" t="s">
        <v>24</v>
      </c>
      <c r="C22" s="15">
        <v>16</v>
      </c>
      <c r="D22" s="16" t="s">
        <v>25</v>
      </c>
      <c r="E22" s="16">
        <f t="shared" si="0"/>
        <v>1600</v>
      </c>
      <c r="F22" s="17">
        <f t="shared" si="1"/>
        <v>4.6875</v>
      </c>
      <c r="G22" s="17">
        <f t="shared" si="3"/>
        <v>45.3125</v>
      </c>
      <c r="I22" s="15" t="str">
        <f t="shared" si="4"/>
        <v>Sample 7</v>
      </c>
      <c r="J22" s="18" t="s">
        <v>24</v>
      </c>
      <c r="K22" s="15">
        <v>7</v>
      </c>
      <c r="L22" s="16" t="s">
        <v>25</v>
      </c>
      <c r="M22" s="16">
        <f t="shared" si="2"/>
        <v>49</v>
      </c>
      <c r="N22" s="19">
        <f t="shared" si="5"/>
        <v>0.65333333333333332</v>
      </c>
      <c r="O22" s="16" t="str">
        <f t="shared" si="6"/>
        <v>PASS</v>
      </c>
    </row>
    <row r="23" spans="1:15">
      <c r="A23" s="15" t="s">
        <v>32</v>
      </c>
      <c r="B23" s="16" t="s">
        <v>24</v>
      </c>
      <c r="C23" s="15">
        <v>17</v>
      </c>
      <c r="D23" s="16" t="s">
        <v>25</v>
      </c>
      <c r="E23" s="16">
        <f t="shared" si="0"/>
        <v>1700</v>
      </c>
      <c r="F23" s="17">
        <f t="shared" si="1"/>
        <v>4.4117647058823533</v>
      </c>
      <c r="G23" s="17">
        <f t="shared" si="3"/>
        <v>45.588235294117645</v>
      </c>
      <c r="I23" s="15" t="str">
        <f t="shared" si="4"/>
        <v>Sample 8</v>
      </c>
      <c r="J23" s="18" t="s">
        <v>24</v>
      </c>
      <c r="K23" s="15">
        <v>7</v>
      </c>
      <c r="L23" s="16" t="s">
        <v>25</v>
      </c>
      <c r="M23" s="16">
        <f t="shared" si="2"/>
        <v>49</v>
      </c>
      <c r="N23" s="19">
        <f t="shared" si="5"/>
        <v>0.65333333333333332</v>
      </c>
      <c r="O23" s="16" t="str">
        <f t="shared" si="6"/>
        <v>PASS</v>
      </c>
    </row>
    <row r="26" spans="1:15">
      <c r="A26" s="12" t="s">
        <v>33</v>
      </c>
      <c r="B26" s="13"/>
    </row>
    <row r="27" spans="1:15">
      <c r="A27" s="7" t="s">
        <v>34</v>
      </c>
    </row>
    <row r="28" spans="1:15" ht="32.1" customHeight="1">
      <c r="A28" s="14" t="s">
        <v>14</v>
      </c>
      <c r="B28" s="14" t="s">
        <v>15</v>
      </c>
      <c r="C28" s="14" t="s">
        <v>16</v>
      </c>
      <c r="D28" s="14" t="s">
        <v>17</v>
      </c>
      <c r="E28" s="14" t="s">
        <v>18</v>
      </c>
    </row>
    <row r="29" spans="1:15">
      <c r="A29" s="15" t="str">
        <f>A16</f>
        <v>Sample 1</v>
      </c>
      <c r="B29" s="16" t="s">
        <v>24</v>
      </c>
      <c r="C29" s="15">
        <v>5</v>
      </c>
      <c r="D29" s="16" t="s">
        <v>25</v>
      </c>
      <c r="E29" s="16">
        <f t="shared" ref="E29:E36" si="7">C29*100</f>
        <v>500</v>
      </c>
      <c r="F29" s="20"/>
    </row>
    <row r="30" spans="1:15">
      <c r="A30" s="15" t="str">
        <f t="shared" ref="A30:A36" si="8">A17</f>
        <v>Sample 2</v>
      </c>
      <c r="B30" s="16" t="s">
        <v>24</v>
      </c>
      <c r="C30" s="15">
        <v>6</v>
      </c>
      <c r="D30" s="16" t="s">
        <v>25</v>
      </c>
      <c r="E30" s="16">
        <f t="shared" si="7"/>
        <v>600</v>
      </c>
      <c r="F30" s="20"/>
    </row>
    <row r="31" spans="1:15">
      <c r="A31" s="15" t="str">
        <f t="shared" si="8"/>
        <v>Sample 3</v>
      </c>
      <c r="B31" s="16" t="s">
        <v>24</v>
      </c>
      <c r="C31" s="15">
        <v>7</v>
      </c>
      <c r="D31" s="16" t="s">
        <v>25</v>
      </c>
      <c r="E31" s="16">
        <f t="shared" si="7"/>
        <v>700</v>
      </c>
      <c r="F31" s="20"/>
    </row>
    <row r="32" spans="1:15">
      <c r="A32" s="15" t="str">
        <f t="shared" si="8"/>
        <v>Sample 4</v>
      </c>
      <c r="B32" s="16" t="s">
        <v>24</v>
      </c>
      <c r="C32" s="15">
        <v>8</v>
      </c>
      <c r="D32" s="16" t="s">
        <v>25</v>
      </c>
      <c r="E32" s="16">
        <f t="shared" si="7"/>
        <v>800</v>
      </c>
      <c r="F32" s="20"/>
    </row>
    <row r="33" spans="1:6">
      <c r="A33" s="15" t="str">
        <f t="shared" si="8"/>
        <v>Sample 5</v>
      </c>
      <c r="B33" s="16" t="s">
        <v>24</v>
      </c>
      <c r="C33" s="15">
        <v>9</v>
      </c>
      <c r="D33" s="16" t="s">
        <v>25</v>
      </c>
      <c r="E33" s="16">
        <f t="shared" si="7"/>
        <v>900</v>
      </c>
      <c r="F33" s="20"/>
    </row>
    <row r="34" spans="1:6">
      <c r="A34" s="15" t="str">
        <f t="shared" si="8"/>
        <v>Sample 6</v>
      </c>
      <c r="B34" s="16" t="s">
        <v>24</v>
      </c>
      <c r="C34" s="15">
        <v>10</v>
      </c>
      <c r="D34" s="16" t="s">
        <v>25</v>
      </c>
      <c r="E34" s="16">
        <f t="shared" si="7"/>
        <v>1000</v>
      </c>
      <c r="F34" s="20"/>
    </row>
    <row r="35" spans="1:6">
      <c r="A35" s="15" t="str">
        <f t="shared" si="8"/>
        <v>Sample 7</v>
      </c>
      <c r="B35" s="16" t="s">
        <v>24</v>
      </c>
      <c r="C35" s="15">
        <v>11</v>
      </c>
      <c r="D35" s="16" t="s">
        <v>25</v>
      </c>
      <c r="E35" s="16">
        <f t="shared" si="7"/>
        <v>1100</v>
      </c>
      <c r="F35" s="20"/>
    </row>
    <row r="36" spans="1:6">
      <c r="A36" s="15" t="str">
        <f t="shared" si="8"/>
        <v>Sample 8</v>
      </c>
      <c r="B36" s="16" t="s">
        <v>24</v>
      </c>
      <c r="C36" s="15">
        <v>12</v>
      </c>
      <c r="D36" s="16" t="s">
        <v>25</v>
      </c>
      <c r="E36" s="16">
        <f t="shared" si="7"/>
        <v>1200</v>
      </c>
      <c r="F36" s="20"/>
    </row>
  </sheetData>
  <mergeCells count="1">
    <mergeCell ref="I13:J13"/>
  </mergeCells>
  <phoneticPr fontId="7" type="noConversion"/>
  <pageMargins left="0.7" right="0.7" top="0.75" bottom="0.75" header="0.3" footer="0.3"/>
  <pageSetup scale="63"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T50"/>
  <sheetViews>
    <sheetView showGridLines="0" workbookViewId="0">
      <selection activeCell="G4" sqref="G4"/>
    </sheetView>
  </sheetViews>
  <sheetFormatPr defaultColWidth="10.875" defaultRowHeight="15.95"/>
  <cols>
    <col min="1" max="1" width="17.375" style="7" customWidth="1"/>
    <col min="2" max="2" width="9.875" style="7" customWidth="1"/>
    <col min="3" max="3" width="7.5" style="7" customWidth="1"/>
    <col min="4" max="4" width="8.125" style="7" customWidth="1"/>
    <col min="5" max="5" width="11" style="7" bestFit="1" customWidth="1"/>
    <col min="6" max="8" width="10.875" style="7"/>
    <col min="9" max="10" width="9.5" style="7" customWidth="1"/>
    <col min="11" max="14" width="10.875" style="7"/>
    <col min="15" max="15" width="12.125" style="7" bestFit="1" customWidth="1"/>
    <col min="16" max="16" width="13.625" style="7" bestFit="1" customWidth="1"/>
    <col min="17" max="17" width="12.125" style="7" bestFit="1" customWidth="1"/>
    <col min="18" max="18" width="21.875" style="7" customWidth="1"/>
    <col min="19" max="19" width="10.125" style="7" bestFit="1" customWidth="1"/>
    <col min="20" max="16384" width="10.875" style="7"/>
  </cols>
  <sheetData>
    <row r="5" spans="1:4" ht="18.95">
      <c r="A5" s="44" t="s">
        <v>35</v>
      </c>
      <c r="B5" s="44"/>
      <c r="C5" s="44"/>
      <c r="D5" s="44"/>
    </row>
    <row r="6" spans="1:4">
      <c r="A6" s="7" t="s">
        <v>36</v>
      </c>
    </row>
    <row r="7" spans="1:4" ht="15.95" customHeight="1">
      <c r="A7" s="21" t="s">
        <v>37</v>
      </c>
    </row>
    <row r="9" spans="1:4" s="11" customFormat="1">
      <c r="A9" s="10" t="s">
        <v>6</v>
      </c>
    </row>
    <row r="10" spans="1:4">
      <c r="A10" s="11" t="s">
        <v>38</v>
      </c>
    </row>
    <row r="11" spans="1:4">
      <c r="A11" s="7" t="s">
        <v>39</v>
      </c>
    </row>
    <row r="12" spans="1:4">
      <c r="A12" s="7" t="s">
        <v>40</v>
      </c>
    </row>
    <row r="13" spans="1:4">
      <c r="A13" s="7" t="s">
        <v>41</v>
      </c>
    </row>
    <row r="14" spans="1:4">
      <c r="A14" s="7" t="s">
        <v>42</v>
      </c>
    </row>
    <row r="15" spans="1:4">
      <c r="A15" s="7" t="s">
        <v>43</v>
      </c>
    </row>
    <row r="16" spans="1:4">
      <c r="A16" s="7" t="s">
        <v>44</v>
      </c>
    </row>
    <row r="17" spans="1:10">
      <c r="A17" s="7" t="s">
        <v>45</v>
      </c>
    </row>
    <row r="19" spans="1:10" ht="21.95">
      <c r="A19" s="22" t="s">
        <v>46</v>
      </c>
    </row>
    <row r="20" spans="1:10">
      <c r="A20" s="23" t="s">
        <v>14</v>
      </c>
      <c r="B20" s="23" t="s">
        <v>47</v>
      </c>
      <c r="C20" s="23" t="s">
        <v>48</v>
      </c>
      <c r="D20" s="23" t="s">
        <v>49</v>
      </c>
      <c r="E20" s="23" t="s">
        <v>50</v>
      </c>
      <c r="F20" s="23" t="s">
        <v>51</v>
      </c>
      <c r="G20" s="23" t="s">
        <v>52</v>
      </c>
      <c r="H20" s="23" t="s">
        <v>53</v>
      </c>
      <c r="I20" s="23" t="s">
        <v>54</v>
      </c>
      <c r="J20" s="24"/>
    </row>
    <row r="21" spans="1:10">
      <c r="A21" s="25" t="s">
        <v>55</v>
      </c>
      <c r="B21" s="26">
        <v>9.66</v>
      </c>
      <c r="C21" s="26">
        <v>9.69</v>
      </c>
      <c r="D21" s="26">
        <v>9.2899999999999991</v>
      </c>
      <c r="E21" s="27">
        <f>AVERAGE(B21:D21)</f>
        <v>9.5466666666666669</v>
      </c>
      <c r="F21" s="27">
        <f>STDEV(B21:D21)</f>
        <v>0.22278539748675966</v>
      </c>
      <c r="G21" s="27">
        <v>20</v>
      </c>
      <c r="H21" s="27">
        <f>IFERROR((LOG10(G21)),"-")</f>
        <v>1.3010299956639813</v>
      </c>
      <c r="I21" s="27" t="s">
        <v>56</v>
      </c>
    </row>
    <row r="22" spans="1:10">
      <c r="A22" s="25" t="s">
        <v>57</v>
      </c>
      <c r="B22" s="26">
        <v>12.61</v>
      </c>
      <c r="C22" s="26">
        <v>12.7</v>
      </c>
      <c r="D22" s="26">
        <v>12.61</v>
      </c>
      <c r="E22" s="27">
        <f t="shared" ref="E22:E27" si="0">AVERAGE(B22:D22)</f>
        <v>12.64</v>
      </c>
      <c r="F22" s="27">
        <f t="shared" ref="F22:F27" si="1">STDEV(B22:D22)</f>
        <v>5.1961524227066236E-2</v>
      </c>
      <c r="G22" s="27">
        <v>2</v>
      </c>
      <c r="H22" s="27">
        <f t="shared" ref="H22:H27" si="2">IFERROR((LOG10(G22)),"-")</f>
        <v>0.3010299956639812</v>
      </c>
      <c r="I22" s="27">
        <f>E22-E21</f>
        <v>3.0933333333333337</v>
      </c>
    </row>
    <row r="23" spans="1:10">
      <c r="A23" s="25" t="s">
        <v>58</v>
      </c>
      <c r="B23" s="26">
        <v>16.07</v>
      </c>
      <c r="C23" s="26">
        <v>15.84</v>
      </c>
      <c r="D23" s="26">
        <v>15.97</v>
      </c>
      <c r="E23" s="27">
        <f t="shared" si="0"/>
        <v>15.96</v>
      </c>
      <c r="F23" s="27">
        <f t="shared" si="1"/>
        <v>0.1153256259467082</v>
      </c>
      <c r="G23" s="27">
        <v>0.2</v>
      </c>
      <c r="H23" s="27">
        <f t="shared" si="2"/>
        <v>-0.69897000433601875</v>
      </c>
      <c r="I23" s="27">
        <f t="shared" ref="I23:I26" si="3">E23-E22</f>
        <v>3.3200000000000003</v>
      </c>
    </row>
    <row r="24" spans="1:10">
      <c r="A24" s="25" t="s">
        <v>59</v>
      </c>
      <c r="B24" s="26">
        <v>19.309999999999999</v>
      </c>
      <c r="C24" s="26">
        <v>19.43</v>
      </c>
      <c r="D24" s="26">
        <v>19.5</v>
      </c>
      <c r="E24" s="27">
        <f t="shared" si="0"/>
        <v>19.41333333333333</v>
      </c>
      <c r="F24" s="27">
        <f t="shared" si="1"/>
        <v>9.6090235369331159E-2</v>
      </c>
      <c r="G24" s="27">
        <v>0.02</v>
      </c>
      <c r="H24" s="27">
        <f t="shared" si="2"/>
        <v>-1.6989700043360187</v>
      </c>
      <c r="I24" s="27">
        <f t="shared" si="3"/>
        <v>3.4533333333333296</v>
      </c>
    </row>
    <row r="25" spans="1:10">
      <c r="A25" s="25" t="s">
        <v>60</v>
      </c>
      <c r="B25" s="26">
        <v>23.2</v>
      </c>
      <c r="C25" s="26">
        <v>23.12</v>
      </c>
      <c r="D25" s="26">
        <v>22.5</v>
      </c>
      <c r="E25" s="27">
        <f t="shared" si="0"/>
        <v>22.939999999999998</v>
      </c>
      <c r="F25" s="27">
        <f t="shared" si="1"/>
        <v>0.38314488121336032</v>
      </c>
      <c r="G25" s="27">
        <v>2E-3</v>
      </c>
      <c r="H25" s="27">
        <f t="shared" si="2"/>
        <v>-2.6989700043360187</v>
      </c>
      <c r="I25" s="27">
        <f t="shared" si="3"/>
        <v>3.5266666666666673</v>
      </c>
    </row>
    <row r="26" spans="1:10">
      <c r="A26" s="25" t="s">
        <v>61</v>
      </c>
      <c r="B26" s="26">
        <v>25.97</v>
      </c>
      <c r="C26" s="26">
        <v>26.17</v>
      </c>
      <c r="D26" s="26">
        <v>26.18</v>
      </c>
      <c r="E26" s="27">
        <f t="shared" si="0"/>
        <v>26.106666666666666</v>
      </c>
      <c r="F26" s="27">
        <f t="shared" si="1"/>
        <v>0.11846237095944676</v>
      </c>
      <c r="G26" s="27">
        <v>2.0000000000000001E-4</v>
      </c>
      <c r="H26" s="27">
        <f t="shared" si="2"/>
        <v>-3.6989700043360187</v>
      </c>
      <c r="I26" s="27">
        <f t="shared" si="3"/>
        <v>3.1666666666666679</v>
      </c>
    </row>
    <row r="27" spans="1:10">
      <c r="A27" s="25" t="s">
        <v>62</v>
      </c>
      <c r="B27" s="28">
        <v>30</v>
      </c>
      <c r="C27" s="28">
        <v>30</v>
      </c>
      <c r="D27" s="28">
        <v>30</v>
      </c>
      <c r="E27" s="27">
        <f t="shared" si="0"/>
        <v>30</v>
      </c>
      <c r="F27" s="27">
        <f t="shared" si="1"/>
        <v>0</v>
      </c>
      <c r="G27" s="27">
        <v>0</v>
      </c>
      <c r="H27" s="27" t="str">
        <f t="shared" si="2"/>
        <v>-</v>
      </c>
      <c r="I27" s="27" t="s">
        <v>63</v>
      </c>
    </row>
    <row r="29" spans="1:10">
      <c r="A29" s="29" t="s">
        <v>64</v>
      </c>
      <c r="B29" s="30">
        <f>SLOPE(E20:E26,H20:H26)</f>
        <v>-3.3472380952380947</v>
      </c>
    </row>
    <row r="30" spans="1:10">
      <c r="A30" s="29" t="s">
        <v>65</v>
      </c>
      <c r="B30" s="30">
        <f>INTERCEPT(E20:E26,H20:H26)</f>
        <v>13.754539704216471</v>
      </c>
    </row>
    <row r="32" spans="1:10">
      <c r="A32" s="11" t="s">
        <v>66</v>
      </c>
      <c r="D32" s="31">
        <v>20</v>
      </c>
      <c r="E32" s="7" t="s">
        <v>67</v>
      </c>
    </row>
    <row r="33" spans="1:20">
      <c r="A33" s="11" t="s">
        <v>68</v>
      </c>
      <c r="D33" s="7">
        <v>25</v>
      </c>
      <c r="E33" s="7" t="s">
        <v>67</v>
      </c>
    </row>
    <row r="34" spans="1:20">
      <c r="A34" s="11" t="s">
        <v>69</v>
      </c>
      <c r="D34" s="7">
        <v>0.75</v>
      </c>
      <c r="E34" s="7" t="s">
        <v>70</v>
      </c>
    </row>
    <row r="35" spans="1:20">
      <c r="A35" s="11" t="s">
        <v>71</v>
      </c>
      <c r="D35" s="7">
        <v>0.5</v>
      </c>
      <c r="E35" s="7" t="s">
        <v>70</v>
      </c>
    </row>
    <row r="37" spans="1:20">
      <c r="A37" s="21" t="s">
        <v>37</v>
      </c>
    </row>
    <row r="39" spans="1:20" ht="21.95">
      <c r="A39" s="22" t="s">
        <v>72</v>
      </c>
    </row>
    <row r="40" spans="1:20" s="33" customFormat="1" ht="33" customHeight="1">
      <c r="A40" s="23" t="s">
        <v>14</v>
      </c>
      <c r="B40" s="23" t="s">
        <v>73</v>
      </c>
      <c r="C40" s="23" t="s">
        <v>47</v>
      </c>
      <c r="D40" s="23" t="s">
        <v>48</v>
      </c>
      <c r="E40" s="23" t="s">
        <v>49</v>
      </c>
      <c r="F40" s="23" t="s">
        <v>50</v>
      </c>
      <c r="G40" s="23" t="s">
        <v>51</v>
      </c>
      <c r="H40" s="23" t="s">
        <v>74</v>
      </c>
      <c r="I40" s="23" t="s">
        <v>75</v>
      </c>
      <c r="J40" s="23" t="s">
        <v>76</v>
      </c>
      <c r="K40" s="23" t="s">
        <v>77</v>
      </c>
      <c r="L40" s="23" t="s">
        <v>78</v>
      </c>
      <c r="M40" s="23" t="s">
        <v>79</v>
      </c>
      <c r="N40" s="23" t="s">
        <v>80</v>
      </c>
      <c r="O40" s="23" t="s">
        <v>81</v>
      </c>
      <c r="P40" s="23" t="s">
        <v>82</v>
      </c>
      <c r="Q40" s="23" t="s">
        <v>83</v>
      </c>
      <c r="R40" s="32" t="s">
        <v>84</v>
      </c>
      <c r="S40" s="23" t="s">
        <v>85</v>
      </c>
      <c r="T40" s="23" t="s">
        <v>22</v>
      </c>
    </row>
    <row r="41" spans="1:20">
      <c r="A41" s="34" t="s">
        <v>86</v>
      </c>
      <c r="B41" s="35">
        <v>1000</v>
      </c>
      <c r="C41" s="28">
        <v>15.85</v>
      </c>
      <c r="D41" s="28">
        <v>15.74</v>
      </c>
      <c r="E41" s="28">
        <v>15.96</v>
      </c>
      <c r="F41" s="36">
        <f>AVERAGE(C41:E41)</f>
        <v>15.85</v>
      </c>
      <c r="G41" s="36">
        <f>STDEV(C41:E41)</f>
        <v>0.11000000000000032</v>
      </c>
      <c r="H41" s="37">
        <f t="shared" ref="H41:H48" si="4">(F41-$B$30)/$B$29</f>
        <v>-0.6260266632256033</v>
      </c>
      <c r="I41" s="35">
        <v>550</v>
      </c>
      <c r="J41" s="36">
        <f>10^H41*(452/I41)*B41/1000</f>
        <v>0.19442364553260555</v>
      </c>
      <c r="K41" s="35">
        <f>660*I41</f>
        <v>363000</v>
      </c>
      <c r="L41" s="36">
        <f>((J41*0.000000001)*K41*0.000001)*1000000000</f>
        <v>7.057578332833582E-2</v>
      </c>
      <c r="M41" s="36">
        <f t="shared" ref="M41:M48" si="5">$D$32*L41</f>
        <v>1.4115156665667163</v>
      </c>
      <c r="N41" s="38">
        <v>9</v>
      </c>
      <c r="O41" s="36">
        <f t="shared" ref="O41:O48" si="6">(M41*(1+$D$34)^N41)*(1-$D$35)</f>
        <v>108.64209839434874</v>
      </c>
      <c r="P41" s="36">
        <f t="shared" ref="P41:P48" si="7">(O41/$D$33)</f>
        <v>4.3456839357739492</v>
      </c>
      <c r="Q41" s="36">
        <f>(P41*(0.001)/K41)*1000000000</f>
        <v>11.971581090286362</v>
      </c>
      <c r="R41" s="39">
        <v>648</v>
      </c>
      <c r="S41" s="40">
        <f>M41/R41</f>
        <v>2.1782649175412288E-3</v>
      </c>
      <c r="T41" s="25" t="str">
        <f>IF(S41&gt;0.002,"PASS","FAIL")</f>
        <v>PASS</v>
      </c>
    </row>
    <row r="42" spans="1:20">
      <c r="A42" s="34" t="s">
        <v>87</v>
      </c>
      <c r="B42" s="35">
        <v>1000</v>
      </c>
      <c r="C42" s="28">
        <v>14.31</v>
      </c>
      <c r="D42" s="28">
        <v>14.23</v>
      </c>
      <c r="E42" s="28">
        <v>14.05</v>
      </c>
      <c r="F42" s="36">
        <f t="shared" ref="F42:F48" si="8">AVERAGE(C42:E42)</f>
        <v>14.196666666666667</v>
      </c>
      <c r="G42" s="36">
        <f t="shared" ref="G42:G48" si="9">STDEV(C42:E42)</f>
        <v>0.13316656236958774</v>
      </c>
      <c r="H42" s="37">
        <f t="shared" si="4"/>
        <v>-0.13208709684536102</v>
      </c>
      <c r="I42" s="35">
        <v>550</v>
      </c>
      <c r="J42" s="36">
        <f t="shared" ref="J42:J48" si="10">10^H42*(452/I42)*B42/1000</f>
        <v>0.6063015080744063</v>
      </c>
      <c r="K42" s="35">
        <f t="shared" ref="K42:K48" si="11">660*I42</f>
        <v>363000</v>
      </c>
      <c r="L42" s="36">
        <f t="shared" ref="L42:L48" si="12">((J42*0.000000001)*K42*0.000001)*1000000000</f>
        <v>0.22008744743100947</v>
      </c>
      <c r="M42" s="36">
        <f t="shared" si="5"/>
        <v>4.4017489486201891</v>
      </c>
      <c r="N42" s="38">
        <v>7</v>
      </c>
      <c r="O42" s="36">
        <f t="shared" si="6"/>
        <v>110.62712202128651</v>
      </c>
      <c r="P42" s="36">
        <f t="shared" si="7"/>
        <v>4.4250848808514602</v>
      </c>
      <c r="Q42" s="36">
        <f t="shared" ref="Q42:Q48" si="13">(P42*(0.001)/K42)*1000000000</f>
        <v>12.190316476174823</v>
      </c>
      <c r="R42" s="39">
        <v>686.40000000000009</v>
      </c>
      <c r="S42" s="40">
        <f t="shared" ref="S42:S48" si="14">M42/R42</f>
        <v>6.4128044123254492E-3</v>
      </c>
      <c r="T42" s="25" t="str">
        <f t="shared" ref="T42:T48" si="15">IF(S42&gt;0.002,"PASS","FAIL")</f>
        <v>PASS</v>
      </c>
    </row>
    <row r="43" spans="1:20">
      <c r="A43" s="34" t="s">
        <v>88</v>
      </c>
      <c r="B43" s="35">
        <v>1000</v>
      </c>
      <c r="C43" s="28">
        <v>11.35</v>
      </c>
      <c r="D43" s="28">
        <v>11.34</v>
      </c>
      <c r="E43" s="28">
        <v>11.37</v>
      </c>
      <c r="F43" s="36">
        <f t="shared" si="8"/>
        <v>11.353333333333332</v>
      </c>
      <c r="G43" s="36">
        <f t="shared" si="9"/>
        <v>1.5275252316519142E-2</v>
      </c>
      <c r="H43" s="37">
        <f t="shared" si="4"/>
        <v>0.71736945582066147</v>
      </c>
      <c r="I43" s="35">
        <v>550</v>
      </c>
      <c r="J43" s="36">
        <f t="shared" si="10"/>
        <v>4.2869182439675244</v>
      </c>
      <c r="K43" s="35">
        <f t="shared" si="11"/>
        <v>363000</v>
      </c>
      <c r="L43" s="36">
        <f t="shared" si="12"/>
        <v>1.5561513225602117</v>
      </c>
      <c r="M43" s="36">
        <f t="shared" si="5"/>
        <v>31.123026451204233</v>
      </c>
      <c r="N43" s="38">
        <v>4</v>
      </c>
      <c r="O43" s="36">
        <f t="shared" si="6"/>
        <v>145.94997365105735</v>
      </c>
      <c r="P43" s="36">
        <f t="shared" si="7"/>
        <v>5.8379989460422941</v>
      </c>
      <c r="Q43" s="36">
        <f t="shared" si="13"/>
        <v>16.082641724634421</v>
      </c>
      <c r="R43" s="39">
        <v>561.59999999999991</v>
      </c>
      <c r="S43" s="40">
        <f t="shared" si="14"/>
        <v>5.541849439316994E-2</v>
      </c>
      <c r="T43" s="25" t="str">
        <f t="shared" si="15"/>
        <v>PASS</v>
      </c>
    </row>
    <row r="44" spans="1:20">
      <c r="A44" s="34" t="s">
        <v>89</v>
      </c>
      <c r="B44" s="35">
        <v>1000</v>
      </c>
      <c r="C44" s="28">
        <v>11.86</v>
      </c>
      <c r="D44" s="28">
        <v>11.96</v>
      </c>
      <c r="E44" s="28">
        <v>11.75</v>
      </c>
      <c r="F44" s="36">
        <f t="shared" si="8"/>
        <v>11.856666666666667</v>
      </c>
      <c r="G44" s="36">
        <f t="shared" si="9"/>
        <v>0.10503967504392528</v>
      </c>
      <c r="H44" s="37">
        <f t="shared" si="4"/>
        <v>0.56699672492667574</v>
      </c>
      <c r="I44" s="35">
        <v>550</v>
      </c>
      <c r="J44" s="36">
        <f t="shared" si="10"/>
        <v>3.0323021247996489</v>
      </c>
      <c r="K44" s="35">
        <f t="shared" si="11"/>
        <v>363000</v>
      </c>
      <c r="L44" s="36">
        <f t="shared" si="12"/>
        <v>1.1007256713022728</v>
      </c>
      <c r="M44" s="36">
        <f t="shared" si="5"/>
        <v>22.014513426045458</v>
      </c>
      <c r="N44" s="38">
        <v>4</v>
      </c>
      <c r="O44" s="36">
        <f t="shared" si="6"/>
        <v>103.23602878112332</v>
      </c>
      <c r="P44" s="36">
        <f t="shared" si="7"/>
        <v>4.1294411512449329</v>
      </c>
      <c r="Q44" s="36">
        <f t="shared" si="13"/>
        <v>11.375870940068687</v>
      </c>
      <c r="R44" s="39">
        <v>1046.4000000000001</v>
      </c>
      <c r="S44" s="40">
        <f t="shared" si="14"/>
        <v>2.1038334696144356E-2</v>
      </c>
      <c r="T44" s="25" t="str">
        <f t="shared" si="15"/>
        <v>PASS</v>
      </c>
    </row>
    <row r="45" spans="1:20">
      <c r="A45" s="34" t="s">
        <v>90</v>
      </c>
      <c r="B45" s="35">
        <v>1000</v>
      </c>
      <c r="C45" s="28">
        <v>13.86</v>
      </c>
      <c r="D45" s="28">
        <v>14.17</v>
      </c>
      <c r="E45" s="28">
        <v>14.31</v>
      </c>
      <c r="F45" s="36">
        <f t="shared" si="8"/>
        <v>14.113333333333335</v>
      </c>
      <c r="G45" s="36">
        <f t="shared" si="9"/>
        <v>0.23028967265887884</v>
      </c>
      <c r="H45" s="37">
        <f t="shared" si="4"/>
        <v>-0.10719094934635723</v>
      </c>
      <c r="I45" s="35">
        <v>550</v>
      </c>
      <c r="J45" s="36">
        <f t="shared" si="10"/>
        <v>0.64207357409579968</v>
      </c>
      <c r="K45" s="35">
        <f t="shared" si="11"/>
        <v>363000</v>
      </c>
      <c r="L45" s="36">
        <f t="shared" si="12"/>
        <v>0.23307270739677527</v>
      </c>
      <c r="M45" s="36">
        <f t="shared" si="5"/>
        <v>4.6614541479355056</v>
      </c>
      <c r="N45" s="38">
        <v>7</v>
      </c>
      <c r="O45" s="36">
        <f t="shared" si="6"/>
        <v>117.1541727707901</v>
      </c>
      <c r="P45" s="36">
        <f t="shared" si="7"/>
        <v>4.686166910831604</v>
      </c>
      <c r="Q45" s="36">
        <f t="shared" si="13"/>
        <v>12.909550718544363</v>
      </c>
      <c r="R45" s="39">
        <v>873.59999999999991</v>
      </c>
      <c r="S45" s="40">
        <f t="shared" si="14"/>
        <v>5.3359136308785554E-3</v>
      </c>
      <c r="T45" s="25" t="str">
        <f t="shared" si="15"/>
        <v>PASS</v>
      </c>
    </row>
    <row r="46" spans="1:20">
      <c r="A46" s="34" t="s">
        <v>91</v>
      </c>
      <c r="B46" s="35">
        <v>1000</v>
      </c>
      <c r="C46" s="28">
        <v>14.32</v>
      </c>
      <c r="D46" s="28">
        <v>14.16</v>
      </c>
      <c r="E46" s="28">
        <v>14.38</v>
      </c>
      <c r="F46" s="36">
        <f t="shared" si="8"/>
        <v>14.286666666666667</v>
      </c>
      <c r="G46" s="36">
        <f t="shared" si="9"/>
        <v>0.11372481406154682</v>
      </c>
      <c r="H46" s="37">
        <f t="shared" si="4"/>
        <v>-0.15897493614428548</v>
      </c>
      <c r="I46" s="35">
        <v>550</v>
      </c>
      <c r="J46" s="36">
        <f t="shared" si="10"/>
        <v>0.56990282421562544</v>
      </c>
      <c r="K46" s="35">
        <f t="shared" si="11"/>
        <v>363000</v>
      </c>
      <c r="L46" s="36">
        <f t="shared" si="12"/>
        <v>0.20687472519027206</v>
      </c>
      <c r="M46" s="36">
        <f t="shared" si="5"/>
        <v>4.1374945038054411</v>
      </c>
      <c r="N46" s="38">
        <v>7</v>
      </c>
      <c r="O46" s="36">
        <f t="shared" si="6"/>
        <v>103.98573718711684</v>
      </c>
      <c r="P46" s="36">
        <f t="shared" si="7"/>
        <v>4.1594294874846733</v>
      </c>
      <c r="Q46" s="36">
        <f t="shared" si="13"/>
        <v>11.458483436596897</v>
      </c>
      <c r="R46" s="39">
        <v>715.2</v>
      </c>
      <c r="S46" s="40">
        <f t="shared" si="14"/>
        <v>5.7850873934639831E-3</v>
      </c>
      <c r="T46" s="25" t="str">
        <f t="shared" si="15"/>
        <v>PASS</v>
      </c>
    </row>
    <row r="47" spans="1:20">
      <c r="A47" s="34" t="s">
        <v>92</v>
      </c>
      <c r="B47" s="35">
        <v>1000</v>
      </c>
      <c r="C47" s="28">
        <v>13.72</v>
      </c>
      <c r="D47" s="28">
        <v>14.14</v>
      </c>
      <c r="E47" s="28">
        <v>13.75</v>
      </c>
      <c r="F47" s="36">
        <f t="shared" si="8"/>
        <v>13.87</v>
      </c>
      <c r="G47" s="36">
        <f t="shared" si="9"/>
        <v>0.23430749027719977</v>
      </c>
      <c r="H47" s="37">
        <f t="shared" si="4"/>
        <v>-3.4494198649264333E-2</v>
      </c>
      <c r="I47" s="35">
        <v>550</v>
      </c>
      <c r="J47" s="36">
        <f t="shared" si="10"/>
        <v>0.75906950905364423</v>
      </c>
      <c r="K47" s="35">
        <f t="shared" si="11"/>
        <v>363000</v>
      </c>
      <c r="L47" s="36">
        <f t="shared" si="12"/>
        <v>0.27554223178647286</v>
      </c>
      <c r="M47" s="36">
        <f t="shared" si="5"/>
        <v>5.5108446357294572</v>
      </c>
      <c r="N47" s="38">
        <v>7</v>
      </c>
      <c r="O47" s="36">
        <f t="shared" si="6"/>
        <v>138.5015113477339</v>
      </c>
      <c r="P47" s="36">
        <f t="shared" si="7"/>
        <v>5.5400604539093559</v>
      </c>
      <c r="Q47" s="36">
        <f t="shared" si="13"/>
        <v>15.261874528675913</v>
      </c>
      <c r="R47" s="39">
        <v>466.56000000000006</v>
      </c>
      <c r="S47" s="40">
        <f t="shared" si="14"/>
        <v>1.1811652597156757E-2</v>
      </c>
      <c r="T47" s="25" t="str">
        <f t="shared" si="15"/>
        <v>PASS</v>
      </c>
    </row>
    <row r="48" spans="1:20">
      <c r="A48" s="34" t="s">
        <v>93</v>
      </c>
      <c r="B48" s="35">
        <v>1000</v>
      </c>
      <c r="C48" s="28">
        <v>11.71</v>
      </c>
      <c r="D48" s="28">
        <v>11.95</v>
      </c>
      <c r="E48" s="28">
        <v>11.67</v>
      </c>
      <c r="F48" s="36">
        <f t="shared" si="8"/>
        <v>11.776666666666666</v>
      </c>
      <c r="G48" s="36">
        <f t="shared" si="9"/>
        <v>0.15143755588800673</v>
      </c>
      <c r="H48" s="37">
        <f t="shared" si="4"/>
        <v>0.59089702652572018</v>
      </c>
      <c r="I48" s="35">
        <v>550</v>
      </c>
      <c r="J48" s="36">
        <f t="shared" si="10"/>
        <v>3.2038544044879931</v>
      </c>
      <c r="K48" s="35">
        <f t="shared" si="11"/>
        <v>363000</v>
      </c>
      <c r="L48" s="36">
        <f t="shared" si="12"/>
        <v>1.1629991488291416</v>
      </c>
      <c r="M48" s="36">
        <f t="shared" si="5"/>
        <v>23.259982976582833</v>
      </c>
      <c r="N48" s="38">
        <v>4</v>
      </c>
      <c r="O48" s="36">
        <f t="shared" si="6"/>
        <v>109.07659985698317</v>
      </c>
      <c r="P48" s="36">
        <f t="shared" si="7"/>
        <v>4.3630639942793268</v>
      </c>
      <c r="Q48" s="36">
        <f t="shared" si="13"/>
        <v>12.019460039336989</v>
      </c>
      <c r="R48" s="39">
        <v>561.59999999999991</v>
      </c>
      <c r="S48" s="40">
        <f t="shared" si="14"/>
        <v>4.1417348605026418E-2</v>
      </c>
      <c r="T48" s="25" t="str">
        <f t="shared" si="15"/>
        <v>PASS</v>
      </c>
    </row>
    <row r="49" spans="1:13">
      <c r="M49" s="24"/>
    </row>
    <row r="50" spans="1:13">
      <c r="A50" s="21" t="s">
        <v>37</v>
      </c>
    </row>
  </sheetData>
  <mergeCells count="1">
    <mergeCell ref="A5:D5"/>
  </mergeCells>
  <phoneticPr fontId="7" type="noConversion"/>
  <pageMargins left="0.7" right="0.7" top="0.75" bottom="0.75" header="0.3" footer="0.3"/>
  <pageSetup scale="48"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2017-09-27T22:03:21Z</dcterms:created>
  <dcterms:modified xsi:type="dcterms:W3CDTF">2025-05-13T19:56:32Z</dcterms:modified>
  <cp:category/>
  <cp:contentStatus/>
</cp:coreProperties>
</file>